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3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4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oyotaeu-my.sharepoint.com/personal/radek_rus_toyotacz_com/Documents/Dokumenty/Diplomová práce/WL - Study/"/>
    </mc:Choice>
  </mc:AlternateContent>
  <xr:revisionPtr revIDLastSave="646" documentId="113_{4AFAE2BC-ACC2-4502-9F02-C4FE68B2CACD}" xr6:coauthVersionLast="47" xr6:coauthVersionMax="47" xr10:uidLastSave="{F0ABCD59-D360-460D-919D-97FB2CBD7920}"/>
  <bookViews>
    <workbookView xWindow="-120" yWindow="-120" windowWidth="29040" windowHeight="15720" tabRatio="909" firstSheet="2" activeTab="2" xr2:uid="{00000000-000D-0000-FFFF-FFFF00000000}"/>
  </bookViews>
  <sheets>
    <sheet name="sorting" sheetId="55" state="hidden" r:id="rId1"/>
    <sheet name="WL DP SS" sheetId="3" state="hidden" r:id="rId2"/>
    <sheet name="SS 1" sheetId="9" r:id="rId3"/>
    <sheet name="SS 2" sheetId="10" r:id="rId4"/>
    <sheet name="SS 3" sheetId="11" r:id="rId5"/>
    <sheet name="SS 4" sheetId="12" r:id="rId6"/>
    <sheet name="SS 5" sheetId="13" r:id="rId7"/>
    <sheet name="SS 6" sheetId="14" r:id="rId8"/>
    <sheet name="SS 7" sheetId="15" r:id="rId9"/>
    <sheet name="SS 8" sheetId="16" r:id="rId10"/>
    <sheet name="SS 9" sheetId="27" r:id="rId11"/>
    <sheet name="SS 10" sheetId="18" r:id="rId12"/>
    <sheet name="SS 11" sheetId="19" r:id="rId13"/>
    <sheet name="SS 12" sheetId="20" r:id="rId14"/>
    <sheet name="SS 13" sheetId="21" r:id="rId15"/>
    <sheet name="A" sheetId="4" state="hidden" r:id="rId16"/>
    <sheet name="A1" sheetId="22" r:id="rId17"/>
    <sheet name="A2" sheetId="23" r:id="rId18"/>
    <sheet name="A3" sheetId="56" r:id="rId19"/>
    <sheet name="A4" sheetId="26" r:id="rId20"/>
    <sheet name="A5" sheetId="17" r:id="rId21"/>
    <sheet name="A6" sheetId="28" r:id="rId22"/>
    <sheet name="A7" sheetId="29" r:id="rId23"/>
    <sheet name="B" sheetId="5" state="hidden" r:id="rId24"/>
    <sheet name="B1" sheetId="24" r:id="rId25"/>
    <sheet name="B2" sheetId="31" r:id="rId26"/>
    <sheet name="C" sheetId="6" state="hidden" r:id="rId27"/>
    <sheet name="C1" sheetId="44" r:id="rId28"/>
    <sheet name="C2" sheetId="45" r:id="rId29"/>
    <sheet name="C3" sheetId="46" r:id="rId30"/>
    <sheet name="C4" sheetId="48" r:id="rId31"/>
    <sheet name="C5" sheetId="49" r:id="rId32"/>
    <sheet name="C6" sheetId="52" r:id="rId33"/>
    <sheet name="C7" sheetId="53" r:id="rId34"/>
    <sheet name="D" sheetId="7" state="hidden" r:id="rId35"/>
    <sheet name="D1" sheetId="32" r:id="rId36"/>
    <sheet name="D2" sheetId="33" r:id="rId37"/>
    <sheet name="D3" sheetId="34" r:id="rId38"/>
    <sheet name="E" sheetId="8" state="hidden" r:id="rId39"/>
    <sheet name="D4" sheetId="35" r:id="rId40"/>
    <sheet name="E1" sheetId="36" r:id="rId41"/>
    <sheet name="E2" sheetId="37" r:id="rId42"/>
    <sheet name="E3" sheetId="38" r:id="rId43"/>
    <sheet name="E4" sheetId="39" r:id="rId44"/>
    <sheet name="E5" sheetId="41" r:id="rId45"/>
    <sheet name="E6" sheetId="42" r:id="rId46"/>
    <sheet name="E7" sheetId="43" r:id="rId4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32" l="1"/>
  <c r="D6" i="55"/>
  <c r="D7" i="55"/>
  <c r="D8" i="55"/>
  <c r="D9" i="55"/>
  <c r="D5" i="55"/>
  <c r="D37" i="56"/>
  <c r="D21" i="56"/>
  <c r="D15" i="56"/>
  <c r="D30" i="56" s="1"/>
  <c r="D15" i="9"/>
  <c r="E14" i="9"/>
  <c r="D13" i="9"/>
  <c r="D12" i="9"/>
  <c r="C2" i="55"/>
  <c r="C6" i="55"/>
  <c r="C7" i="55"/>
  <c r="C8" i="55"/>
  <c r="C9" i="55"/>
  <c r="C5" i="55"/>
  <c r="A3" i="55"/>
  <c r="D42" i="53"/>
  <c r="D38" i="53"/>
  <c r="D34" i="53"/>
  <c r="D30" i="53"/>
  <c r="D26" i="53"/>
  <c r="D22" i="53"/>
  <c r="D41" i="52"/>
  <c r="D37" i="52"/>
  <c r="D33" i="52"/>
  <c r="D29" i="52"/>
  <c r="D24" i="52"/>
  <c r="D25" i="52" s="1"/>
  <c r="D19" i="52"/>
  <c r="D20" i="52" s="1"/>
  <c r="D35" i="20"/>
  <c r="D34" i="49"/>
  <c r="D30" i="49"/>
  <c r="D16" i="49"/>
  <c r="D26" i="49" s="1"/>
  <c r="D34" i="48"/>
  <c r="D38" i="48"/>
  <c r="D28" i="48"/>
  <c r="D29" i="48" s="1"/>
  <c r="D30" i="48" s="1"/>
  <c r="D25" i="48"/>
  <c r="D21" i="46"/>
  <c r="D15" i="46"/>
  <c r="D41" i="46" s="1"/>
  <c r="D30" i="45"/>
  <c r="D16" i="45"/>
  <c r="D26" i="45" s="1"/>
  <c r="D30" i="44"/>
  <c r="D16" i="44"/>
  <c r="D26" i="44" s="1"/>
  <c r="D41" i="56" l="1"/>
  <c r="D25" i="56"/>
  <c r="C48" i="52"/>
  <c r="C53" i="53"/>
  <c r="D21" i="49"/>
  <c r="D22" i="49" s="1"/>
  <c r="C48" i="49" s="1"/>
  <c r="C48" i="48"/>
  <c r="D25" i="46"/>
  <c r="D26" i="46" s="1"/>
  <c r="D30" i="46"/>
  <c r="D37" i="46"/>
  <c r="D21" i="45"/>
  <c r="D22" i="45" s="1"/>
  <c r="C38" i="45" s="1"/>
  <c r="D21" i="44"/>
  <c r="D22" i="44" s="1"/>
  <c r="C38" i="44" s="1"/>
  <c r="D34" i="43"/>
  <c r="D35" i="43" s="1"/>
  <c r="D50" i="43"/>
  <c r="D46" i="43"/>
  <c r="D42" i="43"/>
  <c r="D30" i="43"/>
  <c r="D26" i="43"/>
  <c r="D22" i="43"/>
  <c r="D19" i="42"/>
  <c r="D41" i="42"/>
  <c r="D37" i="42"/>
  <c r="D33" i="42"/>
  <c r="D29" i="42"/>
  <c r="D24" i="42"/>
  <c r="D25" i="42" s="1"/>
  <c r="D20" i="42"/>
  <c r="D34" i="41"/>
  <c r="D30" i="41"/>
  <c r="D16" i="41"/>
  <c r="D21" i="41" s="1"/>
  <c r="D22" i="41" s="1"/>
  <c r="D26" i="39"/>
  <c r="D26" i="56" l="1"/>
  <c r="C48" i="56" s="1"/>
  <c r="C48" i="46"/>
  <c r="C48" i="42"/>
  <c r="C53" i="43"/>
  <c r="D26" i="41"/>
  <c r="C48" i="41" s="1"/>
  <c r="D36" i="39" l="1"/>
  <c r="D32" i="39"/>
  <c r="D27" i="39"/>
  <c r="D28" i="39" s="1"/>
  <c r="D23" i="39"/>
  <c r="C48" i="39" s="1"/>
  <c r="D21" i="38"/>
  <c r="D15" i="38"/>
  <c r="D37" i="38" s="1"/>
  <c r="D30" i="37"/>
  <c r="D16" i="37"/>
  <c r="D26" i="37" s="1"/>
  <c r="D41" i="38" l="1"/>
  <c r="D25" i="38"/>
  <c r="D26" i="38" s="1"/>
  <c r="C48" i="38" s="1"/>
  <c r="D30" i="38"/>
  <c r="D21" i="37"/>
  <c r="D22" i="37" s="1"/>
  <c r="C38" i="37" s="1"/>
  <c r="D30" i="36"/>
  <c r="D16" i="36"/>
  <c r="D26" i="36" s="1"/>
  <c r="D35" i="35"/>
  <c r="D36" i="35" s="1"/>
  <c r="D37" i="35" s="1"/>
  <c r="D45" i="35"/>
  <c r="D41" i="35"/>
  <c r="D30" i="35"/>
  <c r="D31" i="35" s="1"/>
  <c r="D32" i="35" s="1"/>
  <c r="D27" i="35"/>
  <c r="D15" i="34"/>
  <c r="D37" i="34" s="1"/>
  <c r="D21" i="34"/>
  <c r="D30" i="33"/>
  <c r="D16" i="33"/>
  <c r="D26" i="33" s="1"/>
  <c r="C48" i="35" l="1"/>
  <c r="D21" i="36"/>
  <c r="D22" i="36" s="1"/>
  <c r="C38" i="36" s="1"/>
  <c r="D25" i="34"/>
  <c r="D26" i="34" s="1"/>
  <c r="C48" i="34" s="1"/>
  <c r="D41" i="34"/>
  <c r="D30" i="34"/>
  <c r="D21" i="33"/>
  <c r="D22" i="33" s="1"/>
  <c r="C38" i="33" s="1"/>
  <c r="D30" i="32"/>
  <c r="D16" i="32"/>
  <c r="D43" i="31"/>
  <c r="D39" i="31"/>
  <c r="D34" i="31"/>
  <c r="D35" i="31" s="1"/>
  <c r="D33" i="31"/>
  <c r="D28" i="31"/>
  <c r="D29" i="31" s="1"/>
  <c r="D30" i="31" s="1"/>
  <c r="D25" i="31"/>
  <c r="C55" i="31" l="1"/>
  <c r="D21" i="32"/>
  <c r="D22" i="32" s="1"/>
  <c r="C38" i="32" s="1"/>
  <c r="D42" i="29" l="1"/>
  <c r="D38" i="29"/>
  <c r="D34" i="29"/>
  <c r="D30" i="29"/>
  <c r="D26" i="29"/>
  <c r="D22" i="29"/>
  <c r="C53" i="29" s="1"/>
  <c r="D19" i="28"/>
  <c r="D20" i="28" s="1"/>
  <c r="D36" i="20"/>
  <c r="D24" i="19"/>
  <c r="D25" i="19"/>
  <c r="D19" i="19"/>
  <c r="D20" i="19" s="1"/>
  <c r="D19" i="18"/>
  <c r="D20" i="18" s="1"/>
  <c r="D41" i="28"/>
  <c r="D37" i="28"/>
  <c r="D33" i="28"/>
  <c r="D29" i="28"/>
  <c r="D24" i="28"/>
  <c r="D25" i="28" s="1"/>
  <c r="D34" i="27"/>
  <c r="D30" i="27"/>
  <c r="D16" i="27"/>
  <c r="D21" i="27" s="1"/>
  <c r="D22" i="27" s="1"/>
  <c r="D31" i="26"/>
  <c r="D32" i="26" s="1"/>
  <c r="D33" i="26" s="1"/>
  <c r="D28" i="16"/>
  <c r="D29" i="16" s="1"/>
  <c r="D30" i="16" s="1"/>
  <c r="D28" i="15"/>
  <c r="D29" i="15" s="1"/>
  <c r="D30" i="15" s="1"/>
  <c r="D28" i="14"/>
  <c r="D29" i="14" s="1"/>
  <c r="D30" i="14" s="1"/>
  <c r="D28" i="13"/>
  <c r="D29" i="13" s="1"/>
  <c r="D30" i="13" s="1"/>
  <c r="D33" i="13"/>
  <c r="D34" i="13" s="1"/>
  <c r="D35" i="13" s="1"/>
  <c r="D41" i="26"/>
  <c r="D37" i="26"/>
  <c r="D28" i="26"/>
  <c r="D21" i="24"/>
  <c r="D15" i="24"/>
  <c r="D41" i="24" s="1"/>
  <c r="D30" i="23"/>
  <c r="D16" i="23"/>
  <c r="D26" i="23" s="1"/>
  <c r="D30" i="22"/>
  <c r="D16" i="22"/>
  <c r="D21" i="22" s="1"/>
  <c r="D22" i="22" s="1"/>
  <c r="D44" i="21"/>
  <c r="D40" i="21"/>
  <c r="D36" i="21"/>
  <c r="D51" i="20"/>
  <c r="D47" i="20"/>
  <c r="D43" i="20"/>
  <c r="D41" i="19"/>
  <c r="D37" i="19"/>
  <c r="D33" i="19"/>
  <c r="D29" i="19"/>
  <c r="D41" i="18"/>
  <c r="D37" i="18"/>
  <c r="D33" i="18"/>
  <c r="D29" i="18"/>
  <c r="D24" i="18"/>
  <c r="D34" i="17"/>
  <c r="D30" i="17"/>
  <c r="D38" i="16"/>
  <c r="D34" i="16"/>
  <c r="D25" i="16"/>
  <c r="D38" i="15"/>
  <c r="D34" i="15"/>
  <c r="D25" i="15"/>
  <c r="D38" i="14"/>
  <c r="D34" i="14"/>
  <c r="D25" i="14"/>
  <c r="D43" i="13"/>
  <c r="D39" i="13"/>
  <c r="D25" i="13"/>
  <c r="D46" i="12"/>
  <c r="D42" i="12"/>
  <c r="D36" i="12"/>
  <c r="D37" i="12" s="1"/>
  <c r="D38" i="12" s="1"/>
  <c r="D31" i="12"/>
  <c r="D32" i="12" s="1"/>
  <c r="D33" i="12" s="1"/>
  <c r="D28" i="12"/>
  <c r="D21" i="11"/>
  <c r="D15" i="11"/>
  <c r="D37" i="11" s="1"/>
  <c r="D29" i="10"/>
  <c r="D28" i="9"/>
  <c r="D32" i="21"/>
  <c r="D28" i="21"/>
  <c r="D24" i="21"/>
  <c r="C48" i="19" l="1"/>
  <c r="D21" i="23"/>
  <c r="D22" i="23" s="1"/>
  <c r="C38" i="23" s="1"/>
  <c r="D26" i="27"/>
  <c r="C48" i="13"/>
  <c r="D25" i="11"/>
  <c r="D26" i="11" s="1"/>
  <c r="C48" i="27"/>
  <c r="D41" i="11"/>
  <c r="C48" i="16"/>
  <c r="D30" i="11"/>
  <c r="C48" i="28"/>
  <c r="C48" i="26"/>
  <c r="C53" i="21"/>
  <c r="C48" i="15"/>
  <c r="C48" i="14"/>
  <c r="C48" i="12"/>
  <c r="D30" i="24"/>
  <c r="D25" i="24"/>
  <c r="D26" i="24" s="1"/>
  <c r="D37" i="24"/>
  <c r="D26" i="22"/>
  <c r="C38" i="22" s="1"/>
  <c r="D31" i="20"/>
  <c r="D27" i="20"/>
  <c r="D23" i="20"/>
  <c r="C53" i="20" s="1"/>
  <c r="D25" i="18"/>
  <c r="C48" i="18" s="1"/>
  <c r="C48" i="11" l="1"/>
  <c r="C48" i="24"/>
  <c r="D16" i="17"/>
  <c r="D26" i="17" l="1"/>
  <c r="D21" i="17"/>
  <c r="D22" i="17" s="1"/>
  <c r="C48" i="17" s="1"/>
  <c r="S16" i="3"/>
  <c r="S22" i="3"/>
  <c r="S23" i="3" s="1"/>
  <c r="O15" i="3" l="1"/>
  <c r="D15" i="10"/>
  <c r="D14" i="9"/>
  <c r="D20" i="10" l="1"/>
  <c r="D21" i="10" s="1"/>
  <c r="D25" i="10"/>
  <c r="D24" i="9"/>
  <c r="D19" i="9"/>
  <c r="D20" i="9" s="1"/>
  <c r="C38" i="9" s="1"/>
  <c r="S24" i="3"/>
  <c r="C38" i="10" l="1"/>
  <c r="S26" i="7"/>
  <c r="S27" i="7" s="1"/>
  <c r="S28" i="7" s="1"/>
  <c r="S22" i="7"/>
  <c r="S23" i="7" s="1"/>
  <c r="S24" i="7" s="1"/>
  <c r="S16" i="7"/>
  <c r="S12" i="7"/>
  <c r="S14" i="7" s="1"/>
  <c r="S8" i="7"/>
  <c r="T8" i="5"/>
  <c r="T26" i="5"/>
  <c r="T27" i="5" s="1"/>
  <c r="T28" i="5" s="1"/>
  <c r="T22" i="5"/>
  <c r="T23" i="5" s="1"/>
  <c r="T24" i="5" s="1"/>
  <c r="T16" i="5"/>
  <c r="T12" i="5"/>
  <c r="T14" i="5" s="1"/>
  <c r="S8" i="8"/>
  <c r="S26" i="8"/>
  <c r="S27" i="8" s="1"/>
  <c r="S28" i="8" s="1"/>
  <c r="S22" i="8"/>
  <c r="S23" i="8" s="1"/>
  <c r="S24" i="8" s="1"/>
  <c r="S16" i="8"/>
  <c r="S12" i="8"/>
  <c r="S14" i="8" s="1"/>
  <c r="S8" i="6"/>
  <c r="S26" i="6"/>
  <c r="S27" i="6" s="1"/>
  <c r="S28" i="6" s="1"/>
  <c r="S22" i="6"/>
  <c r="S23" i="6" s="1"/>
  <c r="S24" i="6" s="1"/>
  <c r="S16" i="6"/>
  <c r="S12" i="6"/>
  <c r="S14" i="6" s="1"/>
  <c r="S16" i="4"/>
  <c r="AI16" i="3"/>
  <c r="AE16" i="3"/>
  <c r="AA16" i="3"/>
  <c r="W16" i="3"/>
  <c r="S26" i="4" l="1"/>
  <c r="S11" i="4"/>
  <c r="S8" i="4" l="1"/>
  <c r="S27" i="4"/>
  <c r="S28" i="4" s="1"/>
  <c r="S22" i="4"/>
  <c r="S23" i="4" s="1"/>
  <c r="S24" i="4" s="1"/>
  <c r="S12" i="4"/>
  <c r="S14" i="4" s="1"/>
  <c r="S8" i="3"/>
  <c r="AI26" i="3" l="1"/>
  <c r="AI27" i="3" s="1"/>
  <c r="AI28" i="3" s="1"/>
  <c r="AI22" i="3"/>
  <c r="AI23" i="3" s="1"/>
  <c r="AI24" i="3" s="1"/>
  <c r="AE26" i="3"/>
  <c r="AE27" i="3" s="1"/>
  <c r="AE28" i="3" s="1"/>
  <c r="AE22" i="3"/>
  <c r="AE23" i="3" s="1"/>
  <c r="AE24" i="3" s="1"/>
  <c r="AA26" i="3"/>
  <c r="AA27" i="3" s="1"/>
  <c r="AA28" i="3" s="1"/>
  <c r="AA22" i="3"/>
  <c r="AA23" i="3" s="1"/>
  <c r="AA24" i="3" s="1"/>
  <c r="W26" i="3"/>
  <c r="W22" i="3"/>
  <c r="W23" i="3" s="1"/>
  <c r="W24" i="3" s="1"/>
  <c r="S26" i="3"/>
  <c r="S27" i="3" s="1"/>
  <c r="S28" i="3" s="1"/>
  <c r="W27" i="3" l="1"/>
  <c r="W28" i="3" s="1"/>
  <c r="AA22" i="6"/>
  <c r="AA20" i="6"/>
  <c r="AA18" i="6"/>
  <c r="W17" i="6"/>
  <c r="AA16" i="6"/>
  <c r="W15" i="6"/>
  <c r="AE14" i="6"/>
  <c r="AE12" i="6"/>
  <c r="AA10" i="6"/>
  <c r="AE8" i="6"/>
  <c r="AA8" i="6"/>
  <c r="C26" i="4"/>
  <c r="W13" i="4" s="1"/>
  <c r="O24" i="4"/>
  <c r="AA22" i="4"/>
  <c r="O21" i="4"/>
  <c r="C21" i="4"/>
  <c r="G13" i="4" s="1"/>
  <c r="AA20" i="4"/>
  <c r="AA18" i="4"/>
  <c r="W17" i="4"/>
  <c r="AA16" i="4"/>
  <c r="W15" i="4"/>
  <c r="O15" i="4"/>
  <c r="O17" i="4" s="1"/>
  <c r="K15" i="4"/>
  <c r="G15" i="4"/>
  <c r="AE14" i="4"/>
  <c r="AE12" i="4"/>
  <c r="C12" i="4"/>
  <c r="AE18" i="4" s="1"/>
  <c r="AE20" i="4" s="1"/>
  <c r="C11" i="4"/>
  <c r="AA10" i="4"/>
  <c r="O10" i="4"/>
  <c r="O11" i="4" s="1"/>
  <c r="C10" i="4"/>
  <c r="C9" i="4"/>
  <c r="AE8" i="4"/>
  <c r="AA8" i="4"/>
  <c r="O8" i="4"/>
  <c r="C8" i="4"/>
  <c r="S30" i="4" s="1"/>
  <c r="C26" i="8"/>
  <c r="W8" i="8" s="1"/>
  <c r="W9" i="8" s="1"/>
  <c r="O24" i="8"/>
  <c r="AA22" i="8"/>
  <c r="O21" i="8"/>
  <c r="C21" i="8"/>
  <c r="G13" i="8" s="1"/>
  <c r="AA20" i="8"/>
  <c r="AE19" i="8"/>
  <c r="AA18" i="8"/>
  <c r="W17" i="8"/>
  <c r="AA16" i="8"/>
  <c r="W15" i="8"/>
  <c r="O15" i="8"/>
  <c r="O17" i="8" s="1"/>
  <c r="K15" i="8"/>
  <c r="G15" i="8"/>
  <c r="AE14" i="8"/>
  <c r="AE12" i="8"/>
  <c r="C12" i="8"/>
  <c r="C11" i="8"/>
  <c r="AE21" i="8" s="1"/>
  <c r="AA10" i="8"/>
  <c r="O10" i="8"/>
  <c r="O11" i="8" s="1"/>
  <c r="O12" i="8" s="1"/>
  <c r="C10" i="8"/>
  <c r="C9" i="8"/>
  <c r="S30" i="8" s="1"/>
  <c r="AE8" i="8"/>
  <c r="AA8" i="8"/>
  <c r="O8" i="8"/>
  <c r="C8" i="8"/>
  <c r="C26" i="7"/>
  <c r="O24" i="7"/>
  <c r="O21" i="7"/>
  <c r="C21" i="7"/>
  <c r="K13" i="7" s="1"/>
  <c r="O15" i="7"/>
  <c r="O17" i="7" s="1"/>
  <c r="K15" i="7"/>
  <c r="G15" i="7"/>
  <c r="C12" i="7"/>
  <c r="C11" i="7"/>
  <c r="O10" i="7"/>
  <c r="O11" i="7" s="1"/>
  <c r="C10" i="7"/>
  <c r="C9" i="7"/>
  <c r="S30" i="7" s="1"/>
  <c r="O8" i="7"/>
  <c r="C8" i="7"/>
  <c r="C26" i="6"/>
  <c r="W8" i="6" s="1"/>
  <c r="W9" i="6" s="1"/>
  <c r="O24" i="6"/>
  <c r="O21" i="6"/>
  <c r="C21" i="6"/>
  <c r="K13" i="6" s="1"/>
  <c r="O15" i="6"/>
  <c r="K15" i="6"/>
  <c r="G15" i="6"/>
  <c r="C12" i="6"/>
  <c r="AE18" i="6" s="1"/>
  <c r="AE22" i="6" s="1"/>
  <c r="C11" i="6"/>
  <c r="O10" i="6"/>
  <c r="O11" i="6" s="1"/>
  <c r="C10" i="6"/>
  <c r="C9" i="6"/>
  <c r="O8" i="6"/>
  <c r="C8" i="6"/>
  <c r="C26" i="5"/>
  <c r="P24" i="5"/>
  <c r="P21" i="5"/>
  <c r="C21" i="5"/>
  <c r="L13" i="5" s="1"/>
  <c r="P15" i="5"/>
  <c r="L15" i="5"/>
  <c r="H15" i="5"/>
  <c r="C12" i="5"/>
  <c r="C11" i="5"/>
  <c r="P10" i="5"/>
  <c r="P11" i="5" s="1"/>
  <c r="P12" i="5" s="1"/>
  <c r="C10" i="5"/>
  <c r="C9" i="5"/>
  <c r="T30" i="5" s="1"/>
  <c r="P8" i="5"/>
  <c r="C8" i="5"/>
  <c r="H8" i="5" l="1"/>
  <c r="H9" i="5" s="1"/>
  <c r="P22" i="5"/>
  <c r="H13" i="5"/>
  <c r="O12" i="7"/>
  <c r="O12" i="4"/>
  <c r="AA11" i="6"/>
  <c r="AA24" i="6" s="1"/>
  <c r="L8" i="5"/>
  <c r="L9" i="5" s="1"/>
  <c r="L17" i="5" s="1"/>
  <c r="P25" i="5"/>
  <c r="G8" i="6"/>
  <c r="G9" i="6" s="1"/>
  <c r="K8" i="6"/>
  <c r="K9" i="6" s="1"/>
  <c r="K17" i="6" s="1"/>
  <c r="W13" i="6"/>
  <c r="W19" i="6" s="1"/>
  <c r="O25" i="6"/>
  <c r="G8" i="4"/>
  <c r="G9" i="4" s="1"/>
  <c r="K8" i="7"/>
  <c r="K9" i="7" s="1"/>
  <c r="K17" i="7" s="1"/>
  <c r="O22" i="7"/>
  <c r="O25" i="7"/>
  <c r="AA11" i="4"/>
  <c r="G13" i="7"/>
  <c r="G8" i="7"/>
  <c r="G9" i="7" s="1"/>
  <c r="W13" i="8"/>
  <c r="W19" i="8" s="1"/>
  <c r="O22" i="8"/>
  <c r="AA11" i="8"/>
  <c r="AA24" i="8" s="1"/>
  <c r="O25" i="8"/>
  <c r="G13" i="6"/>
  <c r="O22" i="6"/>
  <c r="O12" i="6"/>
  <c r="K13" i="4"/>
  <c r="O22" i="4"/>
  <c r="O25" i="4"/>
  <c r="G17" i="4"/>
  <c r="K8" i="4"/>
  <c r="K9" i="4" s="1"/>
  <c r="AE24" i="6"/>
  <c r="AE20" i="6"/>
  <c r="AE24" i="4"/>
  <c r="AE22" i="4"/>
  <c r="W8" i="4"/>
  <c r="W9" i="4" s="1"/>
  <c r="AE25" i="8"/>
  <c r="AE28" i="8"/>
  <c r="AE23" i="8"/>
  <c r="K13" i="8"/>
  <c r="K8" i="8"/>
  <c r="K9" i="8" s="1"/>
  <c r="G8" i="8"/>
  <c r="G9" i="8" s="1"/>
  <c r="G17" i="8" s="1"/>
  <c r="O17" i="6"/>
  <c r="P17" i="5"/>
  <c r="O27" i="7" l="1"/>
  <c r="W19" i="4"/>
  <c r="O27" i="8"/>
  <c r="C29" i="8" s="1"/>
  <c r="AA24" i="4"/>
  <c r="H17" i="5"/>
  <c r="G17" i="6"/>
  <c r="P27" i="5"/>
  <c r="C29" i="5" s="1"/>
  <c r="AE26" i="4"/>
  <c r="O27" i="4"/>
  <c r="K17" i="8"/>
  <c r="O27" i="6"/>
  <c r="K17" i="4"/>
  <c r="G17" i="7"/>
  <c r="AE26" i="6"/>
  <c r="AE30" i="8"/>
  <c r="C29" i="7" l="1"/>
  <c r="C29" i="4"/>
  <c r="C26" i="3"/>
  <c r="AM8" i="3" s="1"/>
  <c r="AM9" i="3" s="1"/>
  <c r="O24" i="3"/>
  <c r="AU22" i="3"/>
  <c r="AQ22" i="3"/>
  <c r="O21" i="3"/>
  <c r="O22" i="3" s="1"/>
  <c r="C21" i="3"/>
  <c r="K13" i="3" s="1"/>
  <c r="AU20" i="3"/>
  <c r="AQ20" i="3"/>
  <c r="AY19" i="3"/>
  <c r="AU18" i="3"/>
  <c r="AQ18" i="3"/>
  <c r="AM17" i="3"/>
  <c r="AU16" i="3"/>
  <c r="AQ16" i="3"/>
  <c r="AM15" i="3"/>
  <c r="O17" i="3"/>
  <c r="K15" i="3"/>
  <c r="G15" i="3"/>
  <c r="BC14" i="3"/>
  <c r="AY14" i="3"/>
  <c r="BC12" i="3"/>
  <c r="AY12" i="3"/>
  <c r="AI12" i="3"/>
  <c r="AI14" i="3" s="1"/>
  <c r="AE12" i="3"/>
  <c r="AE14" i="3" s="1"/>
  <c r="AA12" i="3"/>
  <c r="AA14" i="3" s="1"/>
  <c r="W12" i="3"/>
  <c r="W14" i="3" s="1"/>
  <c r="S12" i="3"/>
  <c r="S14" i="3" s="1"/>
  <c r="C12" i="3"/>
  <c r="BC18" i="3" s="1"/>
  <c r="C11" i="3"/>
  <c r="AY21" i="3" s="1"/>
  <c r="AU10" i="3"/>
  <c r="AQ10" i="3"/>
  <c r="O10" i="3"/>
  <c r="O11" i="3" s="1"/>
  <c r="O12" i="3" s="1"/>
  <c r="C10" i="3"/>
  <c r="C9" i="3"/>
  <c r="BC8" i="3"/>
  <c r="AY8" i="3"/>
  <c r="AU8" i="3"/>
  <c r="AQ8" i="3"/>
  <c r="AI8" i="3"/>
  <c r="AE8" i="3"/>
  <c r="AA8" i="3"/>
  <c r="W8" i="3"/>
  <c r="O8" i="3"/>
  <c r="C8" i="3"/>
  <c r="AU11" i="3" l="1"/>
  <c r="AM13" i="3"/>
  <c r="S30" i="3"/>
  <c r="W30" i="3"/>
  <c r="AA30" i="3"/>
  <c r="AE30" i="3"/>
  <c r="AI30" i="3"/>
  <c r="AQ11" i="3"/>
  <c r="AQ24" i="3" s="1"/>
  <c r="AM19" i="3"/>
  <c r="AY28" i="3"/>
  <c r="AY25" i="3"/>
  <c r="O25" i="3"/>
  <c r="O27" i="3" s="1"/>
  <c r="BC20" i="3"/>
  <c r="BC24" i="3"/>
  <c r="BC22" i="3"/>
  <c r="AY23" i="3"/>
  <c r="G8" i="3"/>
  <c r="G9" i="3" s="1"/>
  <c r="G13" i="3"/>
  <c r="K8" i="3"/>
  <c r="K9" i="3" s="1"/>
  <c r="K17" i="3" s="1"/>
  <c r="AU24" i="3" l="1"/>
  <c r="BC27" i="3"/>
  <c r="G17" i="3"/>
  <c r="BC26" i="3"/>
  <c r="AY30" i="3"/>
  <c r="C30" i="3"/>
  <c r="C31" i="3" l="1"/>
  <c r="C32" i="3"/>
  <c r="C33" i="3"/>
  <c r="C29" i="3"/>
  <c r="S30" i="6" l="1"/>
  <c r="C2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S11" authorId="0" shapeId="0" xr:uid="{B7D2A89C-EA44-47AF-8473-1FF836E0CBF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-524</t>
        </r>
      </text>
    </comment>
    <comment ref="AA14" authorId="0" shapeId="0" xr:uid="{19C72E09-0599-4870-9165-CE5BC3928DF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+0,688</t>
        </r>
      </text>
    </comment>
    <comment ref="AE17" authorId="0" shapeId="0" xr:uid="{87A4CF2B-EA1E-4ED0-B92A-98194C5139D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+66</t>
        </r>
      </text>
    </comment>
    <comment ref="C19" authorId="0" shapeId="0" xr:uid="{F21558B7-B87B-427C-ADE5-97864073199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-1</t>
        </r>
      </text>
    </comment>
    <comment ref="S19" authorId="0" shapeId="0" xr:uid="{A6643DB2-3555-45FA-AE1F-90EB57D1FB3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-1</t>
        </r>
      </text>
    </comment>
    <comment ref="C24" authorId="0" shapeId="0" xr:uid="{D3839A3A-69A0-41E9-9C7C-187A4E39C49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+0,688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T11" authorId="0" shapeId="0" xr:uid="{B7EBD3F3-019D-4101-AFC5-E14876556C5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+12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19" authorId="0" shapeId="0" xr:uid="{C5C7C83E-256C-4270-8630-1971A93EB60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+0,042</t>
        </r>
      </text>
    </comment>
    <comment ref="S19" authorId="0" shapeId="0" xr:uid="{E71C2E7D-7F97-4EAA-B7D2-B20EA382156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+0,0833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S11" authorId="0" shapeId="0" xr:uid="{7F4520B4-9715-466C-A00A-9B5F19F322D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-30</t>
        </r>
      </text>
    </comment>
    <comment ref="AA14" authorId="0" shapeId="0" xr:uid="{97D8B429-A525-4415-805C-925085CE86F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+0,021</t>
        </r>
      </text>
    </comment>
    <comment ref="C19" authorId="0" shapeId="0" xr:uid="{89C14C77-AC2F-44C4-BCAA-F05D0F55482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-0,021</t>
        </r>
      </text>
    </comment>
    <comment ref="S19" authorId="0" shapeId="0" xr:uid="{59D82241-9A51-4998-99D5-090CC36FFB51}">
      <text>
        <r>
          <rPr>
            <b/>
            <sz val="9"/>
            <color indexed="81"/>
            <rFont val="Tahoma"/>
            <family val="2"/>
          </rPr>
          <t xml:space="preserve">Autor:
-0,042
</t>
        </r>
      </text>
    </comment>
    <comment ref="AE20" authorId="0" shapeId="0" xr:uid="{4C326A7B-38A9-4B2B-AF75-D6F2AF7642E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+302</t>
        </r>
      </text>
    </comment>
    <comment ref="C24" authorId="0" shapeId="0" xr:uid="{79AF06D9-FFB3-4CAE-B658-463F63CD80E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+0,021
</t>
        </r>
      </text>
    </comment>
  </commentList>
</comments>
</file>

<file path=xl/sharedStrings.xml><?xml version="1.0" encoding="utf-8"?>
<sst xmlns="http://schemas.openxmlformats.org/spreadsheetml/2006/main" count="2239" uniqueCount="476">
  <si>
    <t>Small parts</t>
  </si>
  <si>
    <t>Big parts</t>
  </si>
  <si>
    <t>denní fond (s)</t>
  </si>
  <si>
    <t>TT (s)</t>
  </si>
  <si>
    <t>SP recieving</t>
  </si>
  <si>
    <t>SP loading</t>
  </si>
  <si>
    <t>Scan/sorting</t>
  </si>
  <si>
    <t>Delivery S</t>
  </si>
  <si>
    <t>Delivery 2L</t>
  </si>
  <si>
    <t>Delivery 6S</t>
  </si>
  <si>
    <t>Delivery 7S</t>
  </si>
  <si>
    <t>Delivery 9</t>
  </si>
  <si>
    <t>BP recieving</t>
  </si>
  <si>
    <t>Exchange loading 1</t>
  </si>
  <si>
    <t>Exchange loading 2</t>
  </si>
  <si>
    <t>Exchange Delivery 2</t>
  </si>
  <si>
    <t>Exchange Delivery 3</t>
  </si>
  <si>
    <t>MROF</t>
  </si>
  <si>
    <t>Jízda</t>
  </si>
  <si>
    <t>Chůze</t>
  </si>
  <si>
    <t>aut/den</t>
  </si>
  <si>
    <t>trasa (m)</t>
  </si>
  <si>
    <t>trasa kontrola (m)</t>
  </si>
  <si>
    <t>trasa full (m)</t>
  </si>
  <si>
    <t>aut/cykl 96</t>
  </si>
  <si>
    <t>trasa cyklus (m)</t>
  </si>
  <si>
    <t>t chůze na kontrolu</t>
  </si>
  <si>
    <t>t jízdy (s)</t>
  </si>
  <si>
    <t>trasa full cyklus (m)</t>
  </si>
  <si>
    <t>aut/cykl 48</t>
  </si>
  <si>
    <t>trasa chůze (m)</t>
  </si>
  <si>
    <t>trasa empty (m)</t>
  </si>
  <si>
    <t>počet cyklů 24 aut</t>
  </si>
  <si>
    <t>t chůze</t>
  </si>
  <si>
    <t>Manipulace</t>
  </si>
  <si>
    <t>trasa empty cyklus (m)</t>
  </si>
  <si>
    <t>počet cyklů 18 aut</t>
  </si>
  <si>
    <t>t chůze/souprava</t>
  </si>
  <si>
    <t>počet boxů/den</t>
  </si>
  <si>
    <t>chůze na lince (m)</t>
  </si>
  <si>
    <t>počet cyklů 12 aut</t>
  </si>
  <si>
    <t>oběr z P-Lane (s)</t>
  </si>
  <si>
    <t>odběr z presortingu (s)</t>
  </si>
  <si>
    <t>t chůze/MROS</t>
  </si>
  <si>
    <t>boxů/cyklus</t>
  </si>
  <si>
    <t>odběr z BP P -Lane (s)</t>
  </si>
  <si>
    <t>t chůze na lince (s)</t>
  </si>
  <si>
    <t>celkem odběr (s)</t>
  </si>
  <si>
    <t>manipulace s boxem (s)</t>
  </si>
  <si>
    <t>chůze v exch. zóně (m)</t>
  </si>
  <si>
    <t>rychlost VZV (m/s)</t>
  </si>
  <si>
    <t>sortování (s)</t>
  </si>
  <si>
    <t>nakládka (s)</t>
  </si>
  <si>
    <t>celkem manipulace s boxy (s)</t>
  </si>
  <si>
    <t>počet palet/cyklus</t>
  </si>
  <si>
    <t>t chůze v exch. Zóně (s)</t>
  </si>
  <si>
    <t>rychlost BT (m/s)</t>
  </si>
  <si>
    <t>celkem sortování (s)</t>
  </si>
  <si>
    <t>celkem nakládka (s)</t>
  </si>
  <si>
    <t>počet souprav/MROS</t>
  </si>
  <si>
    <t>manipulace s víkem (s)</t>
  </si>
  <si>
    <t>odebírání palet (s)</t>
  </si>
  <si>
    <t>rychlost TM (m/s)</t>
  </si>
  <si>
    <t>sken/ páskování soupravy (s)</t>
  </si>
  <si>
    <t>celkem manipulace s víky (s)</t>
  </si>
  <si>
    <t>kliknutí tablet (s)</t>
  </si>
  <si>
    <t>Workload</t>
  </si>
  <si>
    <t>celkem sken/ páskování</t>
  </si>
  <si>
    <t>celkem klikání (s)</t>
  </si>
  <si>
    <t>nakládání (s)</t>
  </si>
  <si>
    <t>zapojení baterií (s)</t>
  </si>
  <si>
    <t>počet palet za den</t>
  </si>
  <si>
    <t>P-Lane</t>
  </si>
  <si>
    <t>odpojení palety (s)</t>
  </si>
  <si>
    <t>celkem nakládání (s)</t>
  </si>
  <si>
    <t>počet zapojíní/ cyklus</t>
  </si>
  <si>
    <t>palet v soupravě</t>
  </si>
  <si>
    <t>palet/cykl</t>
  </si>
  <si>
    <t>počet odpojení soupravy</t>
  </si>
  <si>
    <t>počet DR/souprava</t>
  </si>
  <si>
    <t>uložení empty (s)</t>
  </si>
  <si>
    <t>celkem brzd. potrubí (s)</t>
  </si>
  <si>
    <t>kontrola (s)</t>
  </si>
  <si>
    <t>koef. vývozu (pal)</t>
  </si>
  <si>
    <t>odpojení (s)</t>
  </si>
  <si>
    <t>počet DA+cs/souprava</t>
  </si>
  <si>
    <t>celkem ukládání (s)</t>
  </si>
  <si>
    <t>celkem kontrola (s)</t>
  </si>
  <si>
    <t>počet jízd</t>
  </si>
  <si>
    <t>odpojení/souprava (s)</t>
  </si>
  <si>
    <t>počet zastávek DA/vozík</t>
  </si>
  <si>
    <t>výměna vozíků (s)</t>
  </si>
  <si>
    <t>odpojení/MROS (s)</t>
  </si>
  <si>
    <t>celkem zastávek DA</t>
  </si>
  <si>
    <t>celkem výměna (s)</t>
  </si>
  <si>
    <t>BP P-Lane</t>
  </si>
  <si>
    <t>rozřazení (s)</t>
  </si>
  <si>
    <t>chůze k DA v cyklu (m)</t>
  </si>
  <si>
    <t>rozřazení/souprava (s)</t>
  </si>
  <si>
    <t>chůze k DA v cyklu (s)</t>
  </si>
  <si>
    <t>koef. Vývozu (pal)</t>
  </si>
  <si>
    <t>rozřazení/MROS (s)</t>
  </si>
  <si>
    <t>počet zastávek DR/vozík</t>
  </si>
  <si>
    <t>celkem zastávek DR</t>
  </si>
  <si>
    <t>sekvencování poloos (s)</t>
  </si>
  <si>
    <t>chůze k DR v cyklu (m)</t>
  </si>
  <si>
    <t>chůze k DR v cyklu (s)</t>
  </si>
  <si>
    <t>cowl louver</t>
  </si>
  <si>
    <t xml:space="preserve"> </t>
  </si>
  <si>
    <t>back door</t>
  </si>
  <si>
    <t>door opening</t>
  </si>
  <si>
    <t>silencer panel</t>
  </si>
  <si>
    <t>moulding roof drip</t>
  </si>
  <si>
    <t>palet v jednom cyklu</t>
  </si>
  <si>
    <t>koef. vývozu palet</t>
  </si>
  <si>
    <t xml:space="preserve"> = 44,86/1,8</t>
  </si>
  <si>
    <t>rychlost VZV [m/s]</t>
  </si>
  <si>
    <t>trasa [m]</t>
  </si>
  <si>
    <t>trasa cyklus [m]</t>
  </si>
  <si>
    <t>čas jízdy [s]</t>
  </si>
  <si>
    <t xml:space="preserve"> = 1744,54/1,85</t>
  </si>
  <si>
    <t>Odebírání palet z P-Lane</t>
  </si>
  <si>
    <t>čas jednoho odběru [s]</t>
  </si>
  <si>
    <t>čas celkového odběru [s]</t>
  </si>
  <si>
    <t>Třízení palet v presortingu</t>
  </si>
  <si>
    <t>čas jednoho vytřízení [s]</t>
  </si>
  <si>
    <t>čas třízení odběru [s]</t>
  </si>
  <si>
    <t xml:space="preserve"> = 1495,32/1,85</t>
  </si>
  <si>
    <t>Odebírání palet z presortingu</t>
  </si>
  <si>
    <t>Nakládání palet na AGV</t>
  </si>
  <si>
    <t>čas jednoho naložení [s]</t>
  </si>
  <si>
    <t>čas celkového nakládání[s]</t>
  </si>
  <si>
    <t>počet souprav v jednom cyklu</t>
  </si>
  <si>
    <t xml:space="preserve"> = 44,86/7</t>
  </si>
  <si>
    <t>počet rozpojení soupravy</t>
  </si>
  <si>
    <t>rychlost chůze [m/s]</t>
  </si>
  <si>
    <t>Chůze na Divert</t>
  </si>
  <si>
    <t>čas chůze [s]</t>
  </si>
  <si>
    <t xml:space="preserve"> = 40/1,3</t>
  </si>
  <si>
    <t>Chůze při třízení soupravy</t>
  </si>
  <si>
    <t xml:space="preserve"> = 358,904/1,3</t>
  </si>
  <si>
    <t>Skenování a odpáskování palet</t>
  </si>
  <si>
    <t>čas na jednu soupravu [s]</t>
  </si>
  <si>
    <t>čas skenování a ospáskování [s]</t>
  </si>
  <si>
    <t>Odpojení palety na Divert</t>
  </si>
  <si>
    <t>čas celkového opojení [s]</t>
  </si>
  <si>
    <t>Odpojení vozíků v soupravě</t>
  </si>
  <si>
    <t>čas jednoho odpojení [s]</t>
  </si>
  <si>
    <t>čas všech odpojení v cyklu [s]</t>
  </si>
  <si>
    <t xml:space="preserve">roztřízení vozíků </t>
  </si>
  <si>
    <t>čas jednoho rozřazení [s]</t>
  </si>
  <si>
    <t>počet boxů v jednom cyklu</t>
  </si>
  <si>
    <t>počet pick/curse vozíků</t>
  </si>
  <si>
    <t>počet directových vozíků</t>
  </si>
  <si>
    <t>počet zastavení k pick/course</t>
  </si>
  <si>
    <t>počet zastavení k directům</t>
  </si>
  <si>
    <t>rychlost BT [m/s]</t>
  </si>
  <si>
    <t xml:space="preserve"> = 700/1,67</t>
  </si>
  <si>
    <t>Chůze k pickovaným vozíkům</t>
  </si>
  <si>
    <t>počet zastávek</t>
  </si>
  <si>
    <t>chůze v cyklu [m]</t>
  </si>
  <si>
    <t xml:space="preserve"> = 55/1,3</t>
  </si>
  <si>
    <t>Chůze k directovým vozíkům</t>
  </si>
  <si>
    <t xml:space="preserve"> = 111,735/1,3</t>
  </si>
  <si>
    <t>Manipulace s boxy</t>
  </si>
  <si>
    <t>čas na jeden box [s]</t>
  </si>
  <si>
    <t>čas celkové manipulace s boxy [s]</t>
  </si>
  <si>
    <t>Manipulace s víky</t>
  </si>
  <si>
    <t>čas na jedno víko [s]</t>
  </si>
  <si>
    <t>čas celkové manipulace s víky [s]</t>
  </si>
  <si>
    <t xml:space="preserve"> = 79,2/1,3</t>
  </si>
  <si>
    <t xml:space="preserve"> = 106,08/1,3</t>
  </si>
  <si>
    <t xml:space="preserve"> = 1180/1,67</t>
  </si>
  <si>
    <t xml:space="preserve"> = 108,202/1,3</t>
  </si>
  <si>
    <t xml:space="preserve"> = 114,66/1,3</t>
  </si>
  <si>
    <t xml:space="preserve"> = 420/1,67</t>
  </si>
  <si>
    <t xml:space="preserve"> = 11/1,5</t>
  </si>
  <si>
    <t xml:space="preserve"> = 513,31/1,85</t>
  </si>
  <si>
    <t>Odebírání palet z BP  P-Lane</t>
  </si>
  <si>
    <t>Ukládání palet do BP bufferu</t>
  </si>
  <si>
    <t>Práce s tabletem</t>
  </si>
  <si>
    <t>čas jednoho kliknutí [s]</t>
  </si>
  <si>
    <t>čas celkového klikání [s]</t>
  </si>
  <si>
    <t>Jízda plné palety</t>
  </si>
  <si>
    <t xml:space="preserve"> = 439,98/1,85</t>
  </si>
  <si>
    <t>Jízda prázdné palety</t>
  </si>
  <si>
    <t xml:space="preserve"> = 293,32/1,85</t>
  </si>
  <si>
    <t>Odebírání palet z BP  bufferu</t>
  </si>
  <si>
    <t>Nakládání palet na exchange soupravy</t>
  </si>
  <si>
    <t>Odkládání prázdných palet</t>
  </si>
  <si>
    <t xml:space="preserve">Jízda </t>
  </si>
  <si>
    <t xml:space="preserve"> = 825/1,67</t>
  </si>
  <si>
    <t>Chůze v exchange zóně</t>
  </si>
  <si>
    <t xml:space="preserve"> = 32/1,3</t>
  </si>
  <si>
    <t>Chůze na lince</t>
  </si>
  <si>
    <t xml:space="preserve"> = 81/1,3</t>
  </si>
  <si>
    <t>Zapojení baterií do soupravy</t>
  </si>
  <si>
    <t>čas jednoho zapojení [s]</t>
  </si>
  <si>
    <t>počet zapojení v cyklu</t>
  </si>
  <si>
    <t>čas celkového zapojení [s]</t>
  </si>
  <si>
    <t>Sekvencování poloos</t>
  </si>
  <si>
    <t>čas celkového sekvencování [s]</t>
  </si>
  <si>
    <t>Kontrola palet</t>
  </si>
  <si>
    <t>čas kontroly jedné palety [s]</t>
  </si>
  <si>
    <t>čas celkové kontroly [s]</t>
  </si>
  <si>
    <t>Výměna vozíků</t>
  </si>
  <si>
    <t>čas výměny jednoho vozíku [s]</t>
  </si>
  <si>
    <t>čas celkové výměny [s]</t>
  </si>
  <si>
    <t xml:space="preserve"> = 582/1,67</t>
  </si>
  <si>
    <t xml:space="preserve"> = 27/1,3</t>
  </si>
  <si>
    <t xml:space="preserve"> = 96/1,3</t>
  </si>
  <si>
    <t xml:space="preserve"> = 43,86/1,8</t>
  </si>
  <si>
    <t xml:space="preserve"> = 1705,69/1,85</t>
  </si>
  <si>
    <t xml:space="preserve"> = 1462,02/1,85</t>
  </si>
  <si>
    <t xml:space="preserve"> = 43,86/7</t>
  </si>
  <si>
    <t xml:space="preserve">* každá souprava má 7 vozíků </t>
  </si>
  <si>
    <t xml:space="preserve"> = 84,24/1,3</t>
  </si>
  <si>
    <t xml:space="preserve"> = 11,688/1,5</t>
  </si>
  <si>
    <t xml:space="preserve"> = 545,44/1,85</t>
  </si>
  <si>
    <t xml:space="preserve"> = 320,84/1,85</t>
  </si>
  <si>
    <t xml:space="preserve"> = 44,36/1,8</t>
  </si>
  <si>
    <t xml:space="preserve"> = 1725,08/1,85</t>
  </si>
  <si>
    <t xml:space="preserve"> = 1478,64/1,85</t>
  </si>
  <si>
    <t xml:space="preserve"> = 44,36/7</t>
  </si>
  <si>
    <t xml:space="preserve"> = 11,344/1,5</t>
  </si>
  <si>
    <t xml:space="preserve"> = 529,41/1,85</t>
  </si>
  <si>
    <t xml:space="preserve"> = 460,62/1,85</t>
  </si>
  <si>
    <t xml:space="preserve"> = 307,08/1,85</t>
  </si>
  <si>
    <t xml:space="preserve"> = 44,902/1,8</t>
  </si>
  <si>
    <t xml:space="preserve"> = 1746,22/1,85</t>
  </si>
  <si>
    <t xml:space="preserve"> = 1496,76/1,85</t>
  </si>
  <si>
    <t xml:space="preserve"> = 44,902/7</t>
  </si>
  <si>
    <t xml:space="preserve"> = 114,688/1,3</t>
  </si>
  <si>
    <t>celkem baterie(s)</t>
  </si>
  <si>
    <t>Exchange přibude manipulace s boxy zakalkuluj</t>
  </si>
  <si>
    <t xml:space="preserve"> = 44,839/1,8</t>
  </si>
  <si>
    <t xml:space="preserve"> = 1743,77/1,85</t>
  </si>
  <si>
    <t xml:space="preserve"> = 1494,66/1,85</t>
  </si>
  <si>
    <t xml:space="preserve"> = 44,839/7</t>
  </si>
  <si>
    <t xml:space="preserve">  = 6,8 - (2/48) * - 0,042 vozíků v jednom cyklu</t>
  </si>
  <si>
    <t xml:space="preserve"> = 106,864/1,3</t>
  </si>
  <si>
    <t xml:space="preserve"> = 11,021/1,5</t>
  </si>
  <si>
    <t xml:space="preserve"> = 514,29/1,85</t>
  </si>
  <si>
    <t xml:space="preserve"> = 461,28/1,85</t>
  </si>
  <si>
    <t xml:space="preserve"> = 230,64/1,85</t>
  </si>
  <si>
    <t xml:space="preserve"> = 70 × 24,922</t>
  </si>
  <si>
    <t xml:space="preserve"> = 12 × 24,922</t>
  </si>
  <si>
    <t xml:space="preserve"> = 20 × 44,86</t>
  </si>
  <si>
    <t xml:space="preserve"> = 60 × 24,922</t>
  </si>
  <si>
    <t xml:space="preserve"> = 7 × 24,922</t>
  </si>
  <si>
    <t xml:space="preserve"> = 12 × 44,86</t>
  </si>
  <si>
    <t xml:space="preserve"> = 16 × 3,5 × 6,409</t>
  </si>
  <si>
    <t xml:space="preserve"> = 55 × 6,409</t>
  </si>
  <si>
    <t xml:space="preserve"> = 4 × 3,5 × 6,409</t>
  </si>
  <si>
    <t xml:space="preserve"> = 2,5 × 4</t>
  </si>
  <si>
    <t xml:space="preserve"> = 4,5 × 1,3</t>
  </si>
  <si>
    <t xml:space="preserve"> = 9 × 67,208</t>
  </si>
  <si>
    <t xml:space="preserve"> = 3 × 4</t>
  </si>
  <si>
    <t xml:space="preserve"> = 4 × 1,3</t>
  </si>
  <si>
    <t xml:space="preserve"> = 9 × 74,438</t>
  </si>
  <si>
    <t xml:space="preserve"> = 6,8 × 1,3</t>
  </si>
  <si>
    <t xml:space="preserve"> = 9 × 60,729</t>
  </si>
  <si>
    <t xml:space="preserve"> = 7 × 1,3</t>
  </si>
  <si>
    <t xml:space="preserve"> = 9 × 41,063</t>
  </si>
  <si>
    <t xml:space="preserve"> = 9 × 31,635</t>
  </si>
  <si>
    <t xml:space="preserve"> = 70 × 7,333</t>
  </si>
  <si>
    <t xml:space="preserve"> = 10 × 7,333</t>
  </si>
  <si>
    <t xml:space="preserve"> = 15 × 11</t>
  </si>
  <si>
    <t xml:space="preserve"> = 2 × 11 × 2</t>
  </si>
  <si>
    <t xml:space="preserve"> = 60 × 7,333</t>
  </si>
  <si>
    <t xml:space="preserve"> = 80 × (7,333/2)</t>
  </si>
  <si>
    <t xml:space="preserve"> = 2 × 7,333 × 2</t>
  </si>
  <si>
    <t xml:space="preserve"> = 60 × 7,667</t>
  </si>
  <si>
    <t xml:space="preserve"> = 60 × (7,667/2)</t>
  </si>
  <si>
    <t xml:space="preserve"> = 10 × 7,667</t>
  </si>
  <si>
    <t xml:space="preserve"> = 2 × 7,667 × 2</t>
  </si>
  <si>
    <t xml:space="preserve"> =120 × 0,069</t>
  </si>
  <si>
    <t xml:space="preserve"> = 10 × 5,167</t>
  </si>
  <si>
    <t xml:space="preserve"> = 40 × 5,167</t>
  </si>
  <si>
    <t xml:space="preserve"> = 2 × 5,167 × 2</t>
  </si>
  <si>
    <t xml:space="preserve"> = 10 × 4,766</t>
  </si>
  <si>
    <t xml:space="preserve"> = 40 × 4,766</t>
  </si>
  <si>
    <t xml:space="preserve"> = 2 × 4,766*2</t>
  </si>
  <si>
    <t xml:space="preserve"> = 70 × 24,367</t>
  </si>
  <si>
    <t xml:space="preserve"> = 12 × 24,367</t>
  </si>
  <si>
    <t xml:space="preserve"> = 20 × 43,86</t>
  </si>
  <si>
    <t xml:space="preserve"> = 60 × 24,367</t>
  </si>
  <si>
    <t xml:space="preserve"> = 7 × 24,367</t>
  </si>
  <si>
    <t xml:space="preserve"> = 12 × 43,86</t>
  </si>
  <si>
    <t xml:space="preserve"> = 55 × 6,266</t>
  </si>
  <si>
    <t xml:space="preserve">  = 6 × 1,3</t>
  </si>
  <si>
    <t xml:space="preserve"> = 9 × 26,177</t>
  </si>
  <si>
    <t xml:space="preserve"> = 6 × 6</t>
  </si>
  <si>
    <t xml:space="preserve"> = 120 × 0,069</t>
  </si>
  <si>
    <t xml:space="preserve"> = 6 × 7</t>
  </si>
  <si>
    <t xml:space="preserve"> = 6 × 6,8</t>
  </si>
  <si>
    <t xml:space="preserve"> = 6 × 4</t>
  </si>
  <si>
    <t xml:space="preserve"> = 6 × 4,5</t>
  </si>
  <si>
    <t xml:space="preserve"> = 17 × 3,5 × 6,409</t>
  </si>
  <si>
    <t xml:space="preserve"> = 70 × 7,792</t>
  </si>
  <si>
    <t xml:space="preserve"> = 10 × 7,792</t>
  </si>
  <si>
    <t xml:space="preserve"> = 15 × 11,688</t>
  </si>
  <si>
    <t xml:space="preserve"> = 2 × 11,688 × 2</t>
  </si>
  <si>
    <t xml:space="preserve"> = 60 × 8,021</t>
  </si>
  <si>
    <t xml:space="preserve"> = 80 × (8,021/2)</t>
  </si>
  <si>
    <t xml:space="preserve"> = 10 × 8,021</t>
  </si>
  <si>
    <t xml:space="preserve"> = 2 × 8,021 × 2</t>
  </si>
  <si>
    <t xml:space="preserve"> = 10 × 5,523</t>
  </si>
  <si>
    <t xml:space="preserve"> = 40 × 5,523</t>
  </si>
  <si>
    <t xml:space="preserve"> = 2 × 5,523 × 2</t>
  </si>
  <si>
    <t xml:space="preserve"> = 9 × 74,688</t>
  </si>
  <si>
    <t xml:space="preserve"> = 70 × 24,644</t>
  </si>
  <si>
    <t xml:space="preserve"> = 12 × 24,644</t>
  </si>
  <si>
    <t xml:space="preserve"> = 60 × 24,644</t>
  </si>
  <si>
    <t xml:space="preserve"> = 7 × 24,644</t>
  </si>
  <si>
    <t xml:space="preserve"> = 12 × 44,36</t>
  </si>
  <si>
    <t xml:space="preserve"> = 55 × 6,337</t>
  </si>
  <si>
    <t xml:space="preserve"> = 6 × 1,3</t>
  </si>
  <si>
    <t xml:space="preserve"> = 9 × 35,98</t>
  </si>
  <si>
    <t xml:space="preserve"> = 70 × 7,563</t>
  </si>
  <si>
    <t xml:space="preserve"> = 10 × 7,563</t>
  </si>
  <si>
    <t xml:space="preserve"> = 15 × 11,344</t>
  </si>
  <si>
    <t xml:space="preserve"> = 2 × 11,344 × 2</t>
  </si>
  <si>
    <t xml:space="preserve"> = 60 × 7,677</t>
  </si>
  <si>
    <t xml:space="preserve"> = 80 × (7,677/2)</t>
  </si>
  <si>
    <t xml:space="preserve"> = 10 × 7,677</t>
  </si>
  <si>
    <t xml:space="preserve"> = 2 × 7,677 × 2</t>
  </si>
  <si>
    <t xml:space="preserve"> = 10 × 5,145</t>
  </si>
  <si>
    <t xml:space="preserve"> = 40 × 5,145</t>
  </si>
  <si>
    <t xml:space="preserve"> = 2 × 5,145 × 2</t>
  </si>
  <si>
    <t xml:space="preserve"> = 70 × 24,946</t>
  </si>
  <si>
    <t xml:space="preserve"> = 12 × 24,946</t>
  </si>
  <si>
    <t xml:space="preserve"> = 20 × 44,902</t>
  </si>
  <si>
    <t xml:space="preserve"> = 60 × 24,946</t>
  </si>
  <si>
    <t xml:space="preserve"> = 7 × 24,946</t>
  </si>
  <si>
    <t xml:space="preserve"> = 12 × 44,902</t>
  </si>
  <si>
    <t xml:space="preserve"> = 55 × 6,415</t>
  </si>
  <si>
    <t xml:space="preserve"> = 4,583 × 1,3</t>
  </si>
  <si>
    <t xml:space="preserve"> = 6 × 4,583</t>
  </si>
  <si>
    <t xml:space="preserve"> = 70 × 24,911</t>
  </si>
  <si>
    <t xml:space="preserve"> = 12 × 24,911</t>
  </si>
  <si>
    <t xml:space="preserve"> = 20 × 44,839</t>
  </si>
  <si>
    <t xml:space="preserve"> = 60 × 24,911</t>
  </si>
  <si>
    <t xml:space="preserve"> = 7 × 24,911</t>
  </si>
  <si>
    <t xml:space="preserve"> = 12 × 44,839</t>
  </si>
  <si>
    <t xml:space="preserve"> = 55 × 6,406</t>
  </si>
  <si>
    <t xml:space="preserve"> = 6,758 × 1,3</t>
  </si>
  <si>
    <t xml:space="preserve"> = 9 × 60,104</t>
  </si>
  <si>
    <t xml:space="preserve"> = 70 × 7,347</t>
  </si>
  <si>
    <t xml:space="preserve"> = 10 × 7,347</t>
  </si>
  <si>
    <t xml:space="preserve"> = 15 × 11,021</t>
  </si>
  <si>
    <t xml:space="preserve"> = 2 × 11,021 × 2</t>
  </si>
  <si>
    <t xml:space="preserve"> = 60 × 7,688</t>
  </si>
  <si>
    <t xml:space="preserve"> = 60 × (7,688/2)</t>
  </si>
  <si>
    <t xml:space="preserve"> = 10 × 7,688</t>
  </si>
  <si>
    <t xml:space="preserve"> = 2 × 7,688 × 2</t>
  </si>
  <si>
    <t xml:space="preserve"> = 10 × 5,201</t>
  </si>
  <si>
    <t xml:space="preserve"> = 40 × 5,201</t>
  </si>
  <si>
    <t xml:space="preserve"> = 2 × 5,201 × 2</t>
  </si>
  <si>
    <t>A</t>
  </si>
  <si>
    <t>B</t>
  </si>
  <si>
    <t>C</t>
  </si>
  <si>
    <t>D</t>
  </si>
  <si>
    <t>E</t>
  </si>
  <si>
    <t>díl</t>
  </si>
  <si>
    <t>Počet palet</t>
  </si>
  <si>
    <t>procenta palet</t>
  </si>
  <si>
    <t>nový počet rozpojení</t>
  </si>
  <si>
    <t xml:space="preserve"> = 16 × 2,34 × 6,266</t>
  </si>
  <si>
    <t xml:space="preserve"> = 4 × 2,34 × 6,266</t>
  </si>
  <si>
    <t xml:space="preserve"> = 17 × 2,34 × 6,266</t>
  </si>
  <si>
    <t xml:space="preserve"> = 16 × 2,92 × 6,337</t>
  </si>
  <si>
    <t xml:space="preserve"> = 234,6/1,3</t>
  </si>
  <si>
    <t xml:space="preserve"> = 296,065/1,3</t>
  </si>
  <si>
    <t xml:space="preserve"> = 16 × 3,36 × 6,415</t>
  </si>
  <si>
    <t xml:space="preserve"> = 4 × 3,36 × 6,415</t>
  </si>
  <si>
    <t xml:space="preserve"> = 17 × 3,36 × 6,415</t>
  </si>
  <si>
    <t xml:space="preserve"> = 344,870/1,3</t>
  </si>
  <si>
    <t xml:space="preserve"> = 16 × 3,48 × 6,406</t>
  </si>
  <si>
    <t xml:space="preserve"> = 4 × 3,48 × 6,406</t>
  </si>
  <si>
    <t xml:space="preserve"> = 17 × 3,48 × 6,406</t>
  </si>
  <si>
    <t xml:space="preserve"> = 356,686/1,3</t>
  </si>
  <si>
    <t xml:space="preserve"> = 348,65/1,3</t>
  </si>
  <si>
    <t>počet pick/course vozíků</t>
  </si>
  <si>
    <t xml:space="preserve"> = 460,02/1,85</t>
  </si>
  <si>
    <t xml:space="preserve"> = 230,01/1,85</t>
  </si>
  <si>
    <t xml:space="preserve"> // údaj vychází ze skenování palet</t>
  </si>
  <si>
    <t xml:space="preserve"> // (70 tam i zpět)</t>
  </si>
  <si>
    <t xml:space="preserve"> // odebírání palet z P-Lane pokud možno po dvou</t>
  </si>
  <si>
    <t xml:space="preserve"> // třízení palet v presortingu každá paleta zvlášť</t>
  </si>
  <si>
    <t xml:space="preserve"> // (60 tam i zpět)</t>
  </si>
  <si>
    <t xml:space="preserve"> // odebírání palet z presortingu pokud možno po dvou</t>
  </si>
  <si>
    <t>// každá souprava má 7 vozíků (WL nezapočítává abnormality)</t>
  </si>
  <si>
    <t xml:space="preserve"> // průměrné jedenkrát za objednávku je přesunut vozík na stanoviště kontroly</t>
  </si>
  <si>
    <t xml:space="preserve"> // počítá se jen chůze zpět, chůze tam je zahrnuta v manipulaci s vozíkem</t>
  </si>
  <si>
    <t xml:space="preserve"> // chůze s každou skupinou vozíků na Baton Lane</t>
  </si>
  <si>
    <t xml:space="preserve"> // počítá se jen chůze zpět, chůze tam je zahrnuta v manipulaci s vozíky</t>
  </si>
  <si>
    <t xml:space="preserve"> // odpojení a manipulace s paletou na stanoviště kontroly má konstantní čas</t>
  </si>
  <si>
    <t xml:space="preserve"> // odpojení vozíků ze soupravy</t>
  </si>
  <si>
    <t xml:space="preserve"> // roztřízení odpojených vozíků do Baton Lane podle kurzů</t>
  </si>
  <si>
    <t xml:space="preserve"> // coursesortingový vozík je připojen každý druhý cyklus proto 0,5</t>
  </si>
  <si>
    <t xml:space="preserve"> // mezera po coursesortingovém vozíku je vyplněna directovým</t>
  </si>
  <si>
    <t xml:space="preserve"> // kolik různých adres na lince je na vozíku (náměr z roku 2020)</t>
  </si>
  <si>
    <t xml:space="preserve"> // chůze do poloviny pickovaných vozíků (jsou vždy umístěny vpředu)</t>
  </si>
  <si>
    <t xml:space="preserve"> = 10 × 2,5 × 2,2    // 2,2 m je délka pickovaných vozíků</t>
  </si>
  <si>
    <t xml:space="preserve"> = ((2,5 × 2,2 × 2) + (4,5 × 1,8)) × 5,85   // 1,8 m je délka directových vozíků</t>
  </si>
  <si>
    <t xml:space="preserve"> // manipulace s boxy na výrobní lince</t>
  </si>
  <si>
    <t xml:space="preserve"> // zahrnuje vložení plného a odebrání prázdného</t>
  </si>
  <si>
    <t xml:space="preserve"> // chůze do poloviny directových vozíků (jsou vždy umístěny vzadu)</t>
  </si>
  <si>
    <t xml:space="preserve"> // manipulace s víky directových vozíků</t>
  </si>
  <si>
    <t xml:space="preserve"> = 12 × 3 × 2,2    // 2,2 m je délka pickovaných vozíků</t>
  </si>
  <si>
    <t xml:space="preserve"> = ((3 × 2,2 × 2) + (4 × 1,8)) × 5,2   // 1,8 m je délka directových vozíků</t>
  </si>
  <si>
    <t xml:space="preserve"> // chůze do poloviny directových vozíků</t>
  </si>
  <si>
    <t xml:space="preserve"> = 6,8 × 1,8 × 8,84   // 1,8 m je délka directových vozíků</t>
  </si>
  <si>
    <t xml:space="preserve"> = 7 × 1,8 × 9,1   // 1,8 m je délka directových vozíků</t>
  </si>
  <si>
    <t xml:space="preserve"> // odebírání palet z BP P-Lane pokud možno po dvou</t>
  </si>
  <si>
    <t xml:space="preserve"> // ukládání palet do BP bufferu každá paleta zvlášť</t>
  </si>
  <si>
    <t xml:space="preserve"> // na každou paletu připadají dvě kliknutí na tabletu</t>
  </si>
  <si>
    <t xml:space="preserve"> // jízda s každou plnou paletou</t>
  </si>
  <si>
    <t xml:space="preserve"> // jízda po dvou prázdných paletách</t>
  </si>
  <si>
    <t xml:space="preserve"> // (80 tam i zpět)</t>
  </si>
  <si>
    <t xml:space="preserve"> // chůze v zóně kde se nakládají vozíky</t>
  </si>
  <si>
    <t xml:space="preserve"> // chůze na výrobní lince</t>
  </si>
  <si>
    <t xml:space="preserve"> // zapojení vozíku s brzdami do soupravy 4× za den </t>
  </si>
  <si>
    <t xml:space="preserve"> = 4/58,056 // počet cyklů procesu za den</t>
  </si>
  <si>
    <t xml:space="preserve"> // konstantní čas sekvencování</t>
  </si>
  <si>
    <t xml:space="preserve"> // před výjezdem soupravy je potřeba zkontrolovat všechny palety</t>
  </si>
  <si>
    <t xml:space="preserve"> // výměna na lince prázdného vozíku za plný</t>
  </si>
  <si>
    <t xml:space="preserve"> = 44,86 - (96/96)  // -1 paleta v každém cyklu</t>
  </si>
  <si>
    <t xml:space="preserve"> // nakládání palet na vozíky, vždy jedna paleta jeden vozík</t>
  </si>
  <si>
    <t xml:space="preserve"> // palety nejdou vždy brát po dvou (ve stohu byl zrovna lichý počet)</t>
  </si>
  <si>
    <t xml:space="preserve">// každá souprava má 7 vozíků </t>
  </si>
  <si>
    <t xml:space="preserve"> // počet rozpojení na jednu soupravu</t>
  </si>
  <si>
    <t xml:space="preserve"> = 3,5 - 1,16 // počet rozpojení na jednu soupravu snížená o vliv způsobený dlohými paletami</t>
  </si>
  <si>
    <t>// roztřízení odpojených vozíků do Baton Lane podle kurzů</t>
  </si>
  <si>
    <t xml:space="preserve">  = 7 - (96/96) // - 1 vozík v každém cyklu </t>
  </si>
  <si>
    <t xml:space="preserve"> // trasa jízdy se nezmění</t>
  </si>
  <si>
    <t xml:space="preserve"> = 6 × 1,8 × 7,8  // 1,8 m je délka directových vozíků</t>
  </si>
  <si>
    <t xml:space="preserve">  = 11 + (66/96) // + 0,688 palet v každém cyklu</t>
  </si>
  <si>
    <t xml:space="preserve">  = 7,333 + (66/96) // + 0,688 palet v každém cyklu</t>
  </si>
  <si>
    <t xml:space="preserve"> = 481,26/1,85</t>
  </si>
  <si>
    <t xml:space="preserve">  = 4,766 + (66/87,083) // + 0,757 palet v každém cyklu</t>
  </si>
  <si>
    <t xml:space="preserve">  = 74,438 + (12/48) // + 0,25 boxů v každém cyklu</t>
  </si>
  <si>
    <t xml:space="preserve"> = 12*3*2,2      // 2,2 m je délka pickovaných vozíků</t>
  </si>
  <si>
    <t xml:space="preserve"> = ((3 × 2,2 × 2)+(4 × 1,8)) × 5,2    // 1,8 m je délka directových vozíků</t>
  </si>
  <si>
    <t xml:space="preserve"> = 3,5 - 0,1 // počet rozpojení na jednu soupravu snížená o vliv způsobený dlohými paletami</t>
  </si>
  <si>
    <t xml:space="preserve"> = 16 × 3,4 × 6,409</t>
  </si>
  <si>
    <t xml:space="preserve"> = 4 × 3,4 × 6,409</t>
  </si>
  <si>
    <t xml:space="preserve"> = 17 × 3,4 × 6,409</t>
  </si>
  <si>
    <t xml:space="preserve"> = 44,86 - (96/48)  // -0,5 paleta v každém cyklu</t>
  </si>
  <si>
    <t xml:space="preserve"> = 20 × 44,36</t>
  </si>
  <si>
    <t xml:space="preserve"> = 3,5 - 0,58 // počet rozpojení na jednu soupravu snížená o vliv způsobený dlohými paletami</t>
  </si>
  <si>
    <t xml:space="preserve"> = 4 × 2,92 × 6,337</t>
  </si>
  <si>
    <t xml:space="preserve"> = 17 × 2,92 × 6,337</t>
  </si>
  <si>
    <t xml:space="preserve">  = 7 - (48/48) // - 1 vozíků v jednom cyklu</t>
  </si>
  <si>
    <t xml:space="preserve"> = 6 × 1,8 × 7,8   // 1,8 m je délka directových vozíků</t>
  </si>
  <si>
    <t xml:space="preserve">  = 11 + (33/96) // + 0,344 palet v každém cyklu</t>
  </si>
  <si>
    <t xml:space="preserve">  = 7,333 + (33/96) // + 0,344 palet v každém cyklu</t>
  </si>
  <si>
    <t xml:space="preserve">  = 4,766 + (33/87,083) // + 0,379 palet v každém cyklu</t>
  </si>
  <si>
    <t xml:space="preserve"> = 44,86 + (4/96)  // + 0,042 palet v každém cyklu</t>
  </si>
  <si>
    <t xml:space="preserve"> = 3,5 - 0,14 // počet rozpojení na jednu soupravu snížená o vliv způsobený dlohými paletami</t>
  </si>
  <si>
    <t xml:space="preserve"> = 4,5 + (4/48)  // + 0,083 vozíků v každém cyklu</t>
  </si>
  <si>
    <t xml:space="preserve"> = 10 × 2,5 × 2,2      // 2,2 m je délka pickovaných vozíků</t>
  </si>
  <si>
    <t xml:space="preserve"> = ((2,5 × 2,2 × 2) + (4,583 × 1,8)) × 5,958    // 1,8 m je délka directových vozíků</t>
  </si>
  <si>
    <t xml:space="preserve"> = 44,86 - (2/96)  // -0,021 palet v každém cyklu</t>
  </si>
  <si>
    <t xml:space="preserve"> = 3,5 - 0,02 // počet rozpojení na jednu soupravu snížená o vliv způsobený dlohými paletami</t>
  </si>
  <si>
    <t xml:space="preserve"> = 6,758 × 1,8 × 8,785   // 1,8 m je délka directových vozíků</t>
  </si>
  <si>
    <t xml:space="preserve"> = 6 × 6,758</t>
  </si>
  <si>
    <t xml:space="preserve">  = 11 + (2/96) // + 0,021 palet v každém cyklu</t>
  </si>
  <si>
    <t xml:space="preserve">  = 7,667 + (2/96) // + 0,021 palet v každém cyklu</t>
  </si>
  <si>
    <t xml:space="preserve">  = 5,167 + (2/58,056) // + 0,034 palet v každém cyklu</t>
  </si>
  <si>
    <t xml:space="preserve"> // zapojení vozíku s brzdami do soupravy 4x za den </t>
  </si>
  <si>
    <t xml:space="preserve"> // dle Stocker Heijunka (2023)</t>
  </si>
  <si>
    <t xml:space="preserve">  = 31,635 - (524/96) // - 5,458 boxů v každém cyklu  // dle Stocker Heijunka (2023)</t>
  </si>
  <si>
    <t xml:space="preserve">  = 41,063 - (244/48) // - 5,083 boxů v každém cyklu  // dle Stocker Heijunka (2023)</t>
  </si>
  <si>
    <t xml:space="preserve">  = 60,729 - (30/48) // - 0,625 boxů v každém cyklu // dle Stocker Heijunka (2023)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</si>
</sst>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_-* #,##0.00000_-;\-* #,##0.000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3" fillId="0" borderId="0"/>
    <xf numFmtId="0" fontId="1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2">
    <xf numFmtId="0" fontId="0" fillId="0" borderId="0" xfId="0"/>
    <xf numFmtId="0" fontId="3" fillId="0" borderId="0" xfId="1"/>
    <xf numFmtId="0" fontId="4" fillId="0" borderId="0" xfId="1" applyFont="1"/>
    <xf numFmtId="0" fontId="6" fillId="0" borderId="0" xfId="1" applyFont="1"/>
    <xf numFmtId="0" fontId="7" fillId="0" borderId="0" xfId="1" applyFont="1"/>
    <xf numFmtId="0" fontId="0" fillId="0" borderId="0" xfId="0" applyAlignment="1">
      <alignment horizontal="left"/>
    </xf>
    <xf numFmtId="164" fontId="0" fillId="0" borderId="0" xfId="0" applyNumberFormat="1"/>
    <xf numFmtId="164" fontId="6" fillId="0" borderId="0" xfId="0" applyNumberFormat="1" applyFont="1"/>
    <xf numFmtId="0" fontId="6" fillId="3" borderId="0" xfId="1" applyFont="1" applyFill="1"/>
    <xf numFmtId="0" fontId="3" fillId="3" borderId="0" xfId="1" applyFill="1"/>
    <xf numFmtId="0" fontId="0" fillId="3" borderId="0" xfId="0" applyFill="1"/>
    <xf numFmtId="0" fontId="6" fillId="2" borderId="0" xfId="1" applyFont="1" applyFill="1"/>
    <xf numFmtId="0" fontId="3" fillId="2" borderId="0" xfId="1" applyFill="1"/>
    <xf numFmtId="0" fontId="6" fillId="0" borderId="0" xfId="0" applyFont="1"/>
    <xf numFmtId="0" fontId="3" fillId="4" borderId="0" xfId="1" applyFill="1"/>
    <xf numFmtId="0" fontId="0" fillId="4" borderId="0" xfId="0" applyFill="1"/>
    <xf numFmtId="0" fontId="3" fillId="5" borderId="0" xfId="1" applyFill="1"/>
    <xf numFmtId="0" fontId="0" fillId="5" borderId="0" xfId="0" applyFill="1"/>
    <xf numFmtId="0" fontId="0" fillId="2" borderId="0" xfId="0" applyFill="1"/>
    <xf numFmtId="0" fontId="10" fillId="2" borderId="0" xfId="0" applyFont="1" applyFill="1"/>
    <xf numFmtId="0" fontId="10" fillId="0" borderId="0" xfId="0" applyFont="1"/>
    <xf numFmtId="0" fontId="10" fillId="3" borderId="0" xfId="0" applyFont="1" applyFill="1"/>
    <xf numFmtId="0" fontId="11" fillId="0" borderId="0" xfId="0" applyFont="1" applyAlignment="1">
      <alignment horizontal="justify" vertical="center"/>
    </xf>
    <xf numFmtId="0" fontId="6" fillId="4" borderId="0" xfId="1" applyFont="1" applyFill="1"/>
    <xf numFmtId="0" fontId="10" fillId="4" borderId="0" xfId="0" applyFont="1" applyFill="1"/>
    <xf numFmtId="0" fontId="12" fillId="0" borderId="0" xfId="0" applyFont="1"/>
    <xf numFmtId="0" fontId="2" fillId="0" borderId="0" xfId="1" applyFont="1"/>
    <xf numFmtId="165" fontId="6" fillId="0" borderId="0" xfId="0" applyNumberFormat="1" applyFont="1"/>
    <xf numFmtId="2" fontId="6" fillId="0" borderId="0" xfId="1" applyNumberFormat="1" applyFont="1"/>
    <xf numFmtId="2" fontId="10" fillId="4" borderId="0" xfId="0" applyNumberFormat="1" applyFont="1" applyFill="1"/>
    <xf numFmtId="2" fontId="10" fillId="3" borderId="0" xfId="0" applyNumberFormat="1" applyFont="1" applyFill="1"/>
    <xf numFmtId="165" fontId="10" fillId="2" borderId="0" xfId="0" applyNumberFormat="1" applyFont="1" applyFill="1"/>
    <xf numFmtId="0" fontId="2" fillId="2" borderId="0" xfId="1" applyFont="1" applyFill="1"/>
    <xf numFmtId="0" fontId="2" fillId="3" borderId="0" xfId="1" applyFont="1" applyFill="1"/>
    <xf numFmtId="0" fontId="2" fillId="4" borderId="0" xfId="1" applyFont="1" applyFill="1"/>
    <xf numFmtId="0" fontId="2" fillId="0" borderId="0" xfId="1" quotePrefix="1" applyFont="1"/>
    <xf numFmtId="165" fontId="3" fillId="0" borderId="0" xfId="1" applyNumberFormat="1"/>
    <xf numFmtId="2" fontId="3" fillId="0" borderId="0" xfId="1" applyNumberFormat="1"/>
    <xf numFmtId="164" fontId="3" fillId="0" borderId="0" xfId="1" applyNumberFormat="1"/>
    <xf numFmtId="165" fontId="0" fillId="0" borderId="0" xfId="0" applyNumberFormat="1"/>
    <xf numFmtId="9" fontId="0" fillId="0" borderId="0" xfId="4" applyFont="1"/>
    <xf numFmtId="43" fontId="0" fillId="0" borderId="0" xfId="3" applyFont="1"/>
    <xf numFmtId="166" fontId="0" fillId="0" borderId="0" xfId="3" applyNumberFormat="1" applyFont="1"/>
    <xf numFmtId="164" fontId="0" fillId="4" borderId="0" xfId="0" applyNumberFormat="1" applyFill="1"/>
    <xf numFmtId="165" fontId="0" fillId="4" borderId="0" xfId="0" applyNumberFormat="1" applyFill="1"/>
    <xf numFmtId="0" fontId="0" fillId="0" borderId="0" xfId="0" applyAlignment="1">
      <alignment horizontal="left"/>
    </xf>
    <xf numFmtId="0" fontId="0" fillId="0" borderId="0" xfId="0"/>
    <xf numFmtId="0" fontId="7" fillId="0" borderId="0" xfId="1" applyFont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0" fontId="5" fillId="3" borderId="0" xfId="1" applyFont="1" applyFill="1" applyAlignment="1">
      <alignment horizontal="center" vertical="center"/>
    </xf>
    <xf numFmtId="165" fontId="10" fillId="4" borderId="0" xfId="0" applyNumberFormat="1" applyFont="1" applyFill="1"/>
  </cellXfs>
  <cellStyles count="5">
    <cellStyle name="Čárka" xfId="3" builtinId="3"/>
    <cellStyle name="Normální" xfId="0" builtinId="0"/>
    <cellStyle name="Normální 2" xfId="1" xr:uid="{BF4C2D2B-3775-4E0D-8073-8A9A8779D9C4}"/>
    <cellStyle name="Normální 3" xfId="2" xr:uid="{86065949-FD34-43FB-8495-DA426312E05A}"/>
    <cellStyle name="Procenta" xfId="4" builtinId="5"/>
  </cellStyles>
  <dxfs count="0"/>
  <tableStyles count="0" defaultTableStyle="TableStyleMedium2" defaultPivotStyle="PivotStyleLight16"/>
  <colors>
    <mruColors>
      <color rgb="FFBD92DE"/>
      <color rgb="FFFCF96D"/>
      <color rgb="FFEE54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svg"/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svg"/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svg"/><Relationship Id="rId1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svg"/><Relationship Id="rId1" Type="http://schemas.openxmlformats.org/officeDocument/2006/relationships/image" Target="../media/image3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svg"/><Relationship Id="rId1" Type="http://schemas.openxmlformats.org/officeDocument/2006/relationships/image" Target="../media/image3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svg"/><Relationship Id="rId1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svg"/><Relationship Id="rId1" Type="http://schemas.openxmlformats.org/officeDocument/2006/relationships/image" Target="../media/image39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123264</xdr:rowOff>
    </xdr:from>
    <xdr:to>
      <xdr:col>10</xdr:col>
      <xdr:colOff>417552</xdr:colOff>
      <xdr:row>9</xdr:row>
      <xdr:rowOff>67235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662AA7D-3488-5D19-6BB7-487440DE6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57" t="30012" r="2887" b="26683"/>
        <a:stretch/>
      </xdr:blipFill>
      <xdr:spPr>
        <a:xfrm>
          <a:off x="0" y="123264"/>
          <a:ext cx="6446317" cy="1658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10</xdr:col>
      <xdr:colOff>542925</xdr:colOff>
      <xdr:row>10</xdr:row>
      <xdr:rowOff>141661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A20B513-7FBF-0F23-4AB5-83B8A3682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83" b="40361"/>
        <a:stretch/>
      </xdr:blipFill>
      <xdr:spPr>
        <a:xfrm>
          <a:off x="0" y="133350"/>
          <a:ext cx="6610350" cy="19133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10</xdr:col>
      <xdr:colOff>533400</xdr:colOff>
      <xdr:row>10</xdr:row>
      <xdr:rowOff>131870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3A0381-1E1C-D1E3-7941-DC385FC03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051" b="40426"/>
        <a:stretch/>
      </xdr:blipFill>
      <xdr:spPr>
        <a:xfrm>
          <a:off x="0" y="123825"/>
          <a:ext cx="6600825" cy="19130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123824</xdr:rowOff>
    </xdr:from>
    <xdr:to>
      <xdr:col>9</xdr:col>
      <xdr:colOff>607891</xdr:colOff>
      <xdr:row>14</xdr:row>
      <xdr:rowOff>142875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43B079B-1A2C-E7AA-CB48-DB00D550F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97" t="10200" r="4021" b="16110"/>
        <a:stretch/>
      </xdr:blipFill>
      <xdr:spPr>
        <a:xfrm>
          <a:off x="0" y="123824"/>
          <a:ext cx="6141916" cy="26860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33617</xdr:rowOff>
    </xdr:from>
    <xdr:to>
      <xdr:col>9</xdr:col>
      <xdr:colOff>490771</xdr:colOff>
      <xdr:row>15</xdr:row>
      <xdr:rowOff>22412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9B2AC08-E0AF-13F7-FF06-4C8B7B36E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59" t="10060" r="6671" b="20871"/>
        <a:stretch/>
      </xdr:blipFill>
      <xdr:spPr>
        <a:xfrm>
          <a:off x="0" y="224117"/>
          <a:ext cx="5992859" cy="26557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85726</xdr:rowOff>
    </xdr:from>
    <xdr:to>
      <xdr:col>10</xdr:col>
      <xdr:colOff>596649</xdr:colOff>
      <xdr:row>10</xdr:row>
      <xdr:rowOff>95250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D5AB979-0F61-EED1-3235-F5C9D68DC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946" t="30149" r="2948" b="27015"/>
        <a:stretch/>
      </xdr:blipFill>
      <xdr:spPr>
        <a:xfrm>
          <a:off x="0" y="276226"/>
          <a:ext cx="6692649" cy="17240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151839</xdr:rowOff>
    </xdr:from>
    <xdr:to>
      <xdr:col>10</xdr:col>
      <xdr:colOff>515470</xdr:colOff>
      <xdr:row>10</xdr:row>
      <xdr:rowOff>101744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8CB6F3C-2B5E-2AB9-B38B-7B30A88AC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55" t="30173" r="2282" b="23743"/>
        <a:stretch/>
      </xdr:blipFill>
      <xdr:spPr>
        <a:xfrm>
          <a:off x="0" y="151839"/>
          <a:ext cx="6544235" cy="18549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104775</xdr:rowOff>
    </xdr:from>
    <xdr:to>
      <xdr:col>11</xdr:col>
      <xdr:colOff>333375</xdr:colOff>
      <xdr:row>12</xdr:row>
      <xdr:rowOff>128150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2B6C0BA-3BFD-3F56-AB34-FD2CEE5AB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8886" b="12230"/>
        <a:stretch/>
      </xdr:blipFill>
      <xdr:spPr>
        <a:xfrm>
          <a:off x="9524" y="104775"/>
          <a:ext cx="6972301" cy="2309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88448</xdr:rowOff>
    </xdr:from>
    <xdr:to>
      <xdr:col>9</xdr:col>
      <xdr:colOff>367393</xdr:colOff>
      <xdr:row>17</xdr:row>
      <xdr:rowOff>97042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AFDC2C-0323-E8BA-ECAD-C5126F69D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647" t="5778" r="13323" b="23114"/>
        <a:stretch/>
      </xdr:blipFill>
      <xdr:spPr>
        <a:xfrm>
          <a:off x="0" y="88448"/>
          <a:ext cx="6123214" cy="32470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114301</xdr:rowOff>
    </xdr:from>
    <xdr:to>
      <xdr:col>13</xdr:col>
      <xdr:colOff>583206</xdr:colOff>
      <xdr:row>11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4ED93AB-4787-A382-E601-A5A40B88A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017" t="30155" r="1535" b="26253"/>
        <a:stretch/>
      </xdr:blipFill>
      <xdr:spPr>
        <a:xfrm>
          <a:off x="0" y="114301"/>
          <a:ext cx="8479431" cy="215264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10</xdr:col>
      <xdr:colOff>590550</xdr:colOff>
      <xdr:row>11</xdr:row>
      <xdr:rowOff>31746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AFD9804-DAF6-360D-DBA5-3A4F648FD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7602" b="40938"/>
        <a:stretch/>
      </xdr:blipFill>
      <xdr:spPr>
        <a:xfrm>
          <a:off x="0" y="200025"/>
          <a:ext cx="6657975" cy="1927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95251</xdr:rowOff>
    </xdr:from>
    <xdr:to>
      <xdr:col>10</xdr:col>
      <xdr:colOff>517631</xdr:colOff>
      <xdr:row>10</xdr:row>
      <xdr:rowOff>76201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8FF783F-65D5-6ED1-88BD-D5190209F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34" t="30047" r="2465" b="23161"/>
        <a:stretch/>
      </xdr:blipFill>
      <xdr:spPr>
        <a:xfrm>
          <a:off x="0" y="95251"/>
          <a:ext cx="6585056" cy="1885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67238</xdr:rowOff>
    </xdr:from>
    <xdr:to>
      <xdr:col>9</xdr:col>
      <xdr:colOff>367310</xdr:colOff>
      <xdr:row>14</xdr:row>
      <xdr:rowOff>11206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FB116CE-B2DC-690A-2D63-B29069CC0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467" t="9907" r="6845" b="20748"/>
        <a:stretch/>
      </xdr:blipFill>
      <xdr:spPr>
        <a:xfrm>
          <a:off x="0" y="67238"/>
          <a:ext cx="5869398" cy="261096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99392</xdr:colOff>
      <xdr:row>0</xdr:row>
      <xdr:rowOff>41413</xdr:rowOff>
    </xdr:from>
    <xdr:to>
      <xdr:col>12</xdr:col>
      <xdr:colOff>207066</xdr:colOff>
      <xdr:row>12</xdr:row>
      <xdr:rowOff>157016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AEEE4BF-089E-9653-993E-644968297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8741" b="13534"/>
        <a:stretch/>
      </xdr:blipFill>
      <xdr:spPr>
        <a:xfrm>
          <a:off x="99392" y="41413"/>
          <a:ext cx="7396370" cy="240160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9</xdr:col>
      <xdr:colOff>247650</xdr:colOff>
      <xdr:row>13</xdr:row>
      <xdr:rowOff>152695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66D671-69E0-4C17-8EED-A1E2C27AD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236" t="5923" r="2574" b="22709"/>
        <a:stretch/>
      </xdr:blipFill>
      <xdr:spPr>
        <a:xfrm>
          <a:off x="0" y="28575"/>
          <a:ext cx="5972175" cy="260062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56032</xdr:rowOff>
    </xdr:from>
    <xdr:to>
      <xdr:col>10</xdr:col>
      <xdr:colOff>565152</xdr:colOff>
      <xdr:row>10</xdr:row>
      <xdr:rowOff>78441</xdr:rowOff>
    </xdr:to>
    <xdr:pic>
      <xdr:nvPicPr>
        <xdr:cNvPr id="4" name="Grafický objekt 3">
          <a:extLst>
            <a:ext uri="{FF2B5EF4-FFF2-40B4-BE49-F238E27FC236}">
              <a16:creationId xmlns:a16="http://schemas.microsoft.com/office/drawing/2014/main" id="{A9C7432A-DB60-AD7E-FE3E-936BC91DB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4133" t="30323" r="2906" b="26699"/>
        <a:stretch/>
      </xdr:blipFill>
      <xdr:spPr>
        <a:xfrm>
          <a:off x="0" y="246532"/>
          <a:ext cx="6593917" cy="17369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123265</xdr:rowOff>
    </xdr:from>
    <xdr:to>
      <xdr:col>11</xdr:col>
      <xdr:colOff>425825</xdr:colOff>
      <xdr:row>11</xdr:row>
      <xdr:rowOff>7650</xdr:rowOff>
    </xdr:to>
    <xdr:pic>
      <xdr:nvPicPr>
        <xdr:cNvPr id="3" name="Grafický objekt 2">
          <a:extLst>
            <a:ext uri="{FF2B5EF4-FFF2-40B4-BE49-F238E27FC236}">
              <a16:creationId xmlns:a16="http://schemas.microsoft.com/office/drawing/2014/main" id="{99CFE4A9-9A7A-5C3A-92E6-8A00637F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5809" t="30457" r="2426" b="23791"/>
        <a:stretch/>
      </xdr:blipFill>
      <xdr:spPr>
        <a:xfrm>
          <a:off x="1" y="123265"/>
          <a:ext cx="7059706" cy="197988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100852</xdr:rowOff>
    </xdr:from>
    <xdr:to>
      <xdr:col>11</xdr:col>
      <xdr:colOff>414617</xdr:colOff>
      <xdr:row>13</xdr:row>
      <xdr:rowOff>13531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34F11A-FC29-9F20-9634-46A401CBA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0063" b="9485"/>
        <a:stretch/>
      </xdr:blipFill>
      <xdr:spPr>
        <a:xfrm>
          <a:off x="0" y="100852"/>
          <a:ext cx="7026088" cy="23891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0</xdr:row>
      <xdr:rowOff>56029</xdr:rowOff>
    </xdr:from>
    <xdr:to>
      <xdr:col>9</xdr:col>
      <xdr:colOff>89647</xdr:colOff>
      <xdr:row>15</xdr:row>
      <xdr:rowOff>132272</xdr:rowOff>
    </xdr:to>
    <xdr:pic>
      <xdr:nvPicPr>
        <xdr:cNvPr id="4" name="Grafický objekt 3">
          <a:extLst>
            <a:ext uri="{FF2B5EF4-FFF2-40B4-BE49-F238E27FC236}">
              <a16:creationId xmlns:a16="http://schemas.microsoft.com/office/drawing/2014/main" id="{C4313A66-87DD-9A41-4E12-BABCE2460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11410" t="4700" r="13857" b="27327"/>
        <a:stretch/>
      </xdr:blipFill>
      <xdr:spPr>
        <a:xfrm>
          <a:off x="89647" y="56029"/>
          <a:ext cx="5692588" cy="293374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81643</xdr:rowOff>
    </xdr:from>
    <xdr:to>
      <xdr:col>13</xdr:col>
      <xdr:colOff>559095</xdr:colOff>
      <xdr:row>12</xdr:row>
      <xdr:rowOff>0</xdr:rowOff>
    </xdr:to>
    <xdr:pic>
      <xdr:nvPicPr>
        <xdr:cNvPr id="5" name="Grafický objekt 4">
          <a:extLst>
            <a:ext uri="{FF2B5EF4-FFF2-40B4-BE49-F238E27FC236}">
              <a16:creationId xmlns:a16="http://schemas.microsoft.com/office/drawing/2014/main" id="{96FFBB19-F7A3-296F-967F-64A5E8948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5178" t="30476" r="1607" b="26508"/>
        <a:stretch/>
      </xdr:blipFill>
      <xdr:spPr>
        <a:xfrm>
          <a:off x="0" y="81643"/>
          <a:ext cx="8492059" cy="22043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40822</xdr:colOff>
      <xdr:row>1</xdr:row>
      <xdr:rowOff>0</xdr:rowOff>
    </xdr:from>
    <xdr:to>
      <xdr:col>10</xdr:col>
      <xdr:colOff>544286</xdr:colOff>
      <xdr:row>10</xdr:row>
      <xdr:rowOff>172757</xdr:rowOff>
    </xdr:to>
    <xdr:pic>
      <xdr:nvPicPr>
        <xdr:cNvPr id="3" name="Grafický objekt 2">
          <a:extLst>
            <a:ext uri="{FF2B5EF4-FFF2-40B4-BE49-F238E27FC236}">
              <a16:creationId xmlns:a16="http://schemas.microsoft.com/office/drawing/2014/main" id="{1F610304-E36F-0E0B-C4B8-EC369E5DC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462" t="8484" r="693" b="41088"/>
        <a:stretch/>
      </xdr:blipFill>
      <xdr:spPr>
        <a:xfrm>
          <a:off x="40822" y="190500"/>
          <a:ext cx="6599464" cy="18872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36635</xdr:colOff>
      <xdr:row>0</xdr:row>
      <xdr:rowOff>43962</xdr:rowOff>
    </xdr:from>
    <xdr:to>
      <xdr:col>9</xdr:col>
      <xdr:colOff>563537</xdr:colOff>
      <xdr:row>14</xdr:row>
      <xdr:rowOff>26644</xdr:rowOff>
    </xdr:to>
    <xdr:pic>
      <xdr:nvPicPr>
        <xdr:cNvPr id="3" name="Grafický objekt 2">
          <a:extLst>
            <a:ext uri="{FF2B5EF4-FFF2-40B4-BE49-F238E27FC236}">
              <a16:creationId xmlns:a16="http://schemas.microsoft.com/office/drawing/2014/main" id="{B2E12B07-D876-0FDC-6837-94F591E2A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5682" t="10303" r="6591" b="21212"/>
        <a:stretch/>
      </xdr:blipFill>
      <xdr:spPr>
        <a:xfrm>
          <a:off x="36635" y="43962"/>
          <a:ext cx="6051402" cy="26496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597658</xdr:colOff>
      <xdr:row>12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45761CB-1500-E724-419B-43B639F56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1" t="29720" r="2196" b="14452"/>
        <a:stretch/>
      </xdr:blipFill>
      <xdr:spPr>
        <a:xfrm>
          <a:off x="0" y="190500"/>
          <a:ext cx="6674608" cy="21431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63873</xdr:rowOff>
    </xdr:from>
    <xdr:to>
      <xdr:col>13</xdr:col>
      <xdr:colOff>493058</xdr:colOff>
      <xdr:row>11</xdr:row>
      <xdr:rowOff>126437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340345-C581-4F34-A14D-6257D7356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28" t="30015" r="2796" b="27340"/>
        <a:stretch/>
      </xdr:blipFill>
      <xdr:spPr>
        <a:xfrm>
          <a:off x="0" y="63873"/>
          <a:ext cx="8337176" cy="215806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152399</xdr:rowOff>
    </xdr:from>
    <xdr:to>
      <xdr:col>10</xdr:col>
      <xdr:colOff>537044</xdr:colOff>
      <xdr:row>10</xdr:row>
      <xdr:rowOff>161924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93E3686-7827-468D-9942-263AD43C0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4" t="29412" r="2435" b="23212"/>
        <a:stretch/>
      </xdr:blipFill>
      <xdr:spPr>
        <a:xfrm>
          <a:off x="0" y="152399"/>
          <a:ext cx="6604469" cy="19145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11</xdr:col>
      <xdr:colOff>569876</xdr:colOff>
      <xdr:row>12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845B23F-BA50-4CAA-7305-F5B95AFB3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9720" b="12785"/>
        <a:stretch/>
      </xdr:blipFill>
      <xdr:spPr>
        <a:xfrm>
          <a:off x="0" y="95250"/>
          <a:ext cx="7304051" cy="23622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68036</xdr:rowOff>
    </xdr:from>
    <xdr:to>
      <xdr:col>10</xdr:col>
      <xdr:colOff>569488</xdr:colOff>
      <xdr:row>15</xdr:row>
      <xdr:rowOff>149678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70311605-7E79-56D6-FA0D-75BA41B1F5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6205" t="6984" r="2942" b="22064"/>
        <a:stretch/>
      </xdr:blipFill>
      <xdr:spPr>
        <a:xfrm>
          <a:off x="0" y="68036"/>
          <a:ext cx="6719917" cy="293914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13</xdr:col>
      <xdr:colOff>561975</xdr:colOff>
      <xdr:row>11</xdr:row>
      <xdr:rowOff>146153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75044A0-71A5-46D6-92A4-521F5C49F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083" t="29925" r="2922" b="26818"/>
        <a:stretch/>
      </xdr:blipFill>
      <xdr:spPr>
        <a:xfrm>
          <a:off x="0" y="28575"/>
          <a:ext cx="8458200" cy="221307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19051</xdr:rowOff>
    </xdr:from>
    <xdr:to>
      <xdr:col>10</xdr:col>
      <xdr:colOff>542925</xdr:colOff>
      <xdr:row>9</xdr:row>
      <xdr:rowOff>181493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99AEC0-FCF8-4679-8651-973561D2D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99" t="29930" r="2530" b="23746"/>
        <a:stretch/>
      </xdr:blipFill>
      <xdr:spPr>
        <a:xfrm>
          <a:off x="0" y="19051"/>
          <a:ext cx="6610350" cy="187694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12</xdr:col>
      <xdr:colOff>123636</xdr:colOff>
      <xdr:row>13</xdr:row>
      <xdr:rowOff>9524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0009CE-00E3-493B-1B24-E9715DADD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9998" b="12784"/>
        <a:stretch/>
      </xdr:blipFill>
      <xdr:spPr>
        <a:xfrm>
          <a:off x="0" y="85725"/>
          <a:ext cx="7457886" cy="240029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504825</xdr:colOff>
      <xdr:row>13</xdr:row>
      <xdr:rowOff>173886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0B3A9BD-9FA1-420F-A82E-2C8EDD215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15" t="7143" r="10662" b="22829"/>
        <a:stretch/>
      </xdr:blipFill>
      <xdr:spPr>
        <a:xfrm>
          <a:off x="0" y="9525"/>
          <a:ext cx="5619750" cy="264086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13</xdr:col>
      <xdr:colOff>520490</xdr:colOff>
      <xdr:row>11</xdr:row>
      <xdr:rowOff>152399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8CA013E-905F-4633-9433-51ED4CE2F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42" t="30265" r="1622" b="26500"/>
        <a:stretch/>
      </xdr:blipFill>
      <xdr:spPr>
        <a:xfrm>
          <a:off x="0" y="57150"/>
          <a:ext cx="8416715" cy="219074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28576</xdr:rowOff>
    </xdr:from>
    <xdr:to>
      <xdr:col>10</xdr:col>
      <xdr:colOff>503744</xdr:colOff>
      <xdr:row>10</xdr:row>
      <xdr:rowOff>9526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E82CEE5-A6DA-4E46-9BCC-CC11C3A93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9" t="8440" r="487" b="40923"/>
        <a:stretch/>
      </xdr:blipFill>
      <xdr:spPr>
        <a:xfrm>
          <a:off x="1" y="28576"/>
          <a:ext cx="6571168" cy="188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107496</xdr:rowOff>
    </xdr:from>
    <xdr:to>
      <xdr:col>9</xdr:col>
      <xdr:colOff>437985</xdr:colOff>
      <xdr:row>14</xdr:row>
      <xdr:rowOff>152400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41C06F0-D61E-1727-418B-259AA1459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27" t="4435" r="3028" b="22377"/>
        <a:stretch/>
      </xdr:blipFill>
      <xdr:spPr>
        <a:xfrm>
          <a:off x="0" y="107496"/>
          <a:ext cx="6162510" cy="271190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0</xdr:rowOff>
    </xdr:from>
    <xdr:to>
      <xdr:col>9</xdr:col>
      <xdr:colOff>486932</xdr:colOff>
      <xdr:row>13</xdr:row>
      <xdr:rowOff>104774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76ACF03-79BE-41A7-B601-4AC30A32B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25" t="10265" r="4035" b="16951"/>
        <a:stretch/>
      </xdr:blipFill>
      <xdr:spPr>
        <a:xfrm>
          <a:off x="47624" y="0"/>
          <a:ext cx="5973333" cy="2581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95251</xdr:rowOff>
    </xdr:from>
    <xdr:to>
      <xdr:col>9</xdr:col>
      <xdr:colOff>582923</xdr:colOff>
      <xdr:row>12</xdr:row>
      <xdr:rowOff>180975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E3310A2-2BCE-09F8-E5A5-114089B36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719" t="6193" r="2504" b="22450"/>
        <a:stretch/>
      </xdr:blipFill>
      <xdr:spPr>
        <a:xfrm>
          <a:off x="0" y="95251"/>
          <a:ext cx="6307448" cy="23717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9</xdr:col>
      <xdr:colOff>361950</xdr:colOff>
      <xdr:row>14</xdr:row>
      <xdr:rowOff>145751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89D3BD5-15CE-DFE9-8738-8E1565312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251" t="5303" r="7337" b="23640"/>
        <a:stretch/>
      </xdr:blipFill>
      <xdr:spPr>
        <a:xfrm>
          <a:off x="0" y="152400"/>
          <a:ext cx="6086475" cy="26603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9</xdr:col>
      <xdr:colOff>66675</xdr:colOff>
      <xdr:row>14</xdr:row>
      <xdr:rowOff>126020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C0578DC-AEB1-BE94-40D0-0662145A6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221" t="5257" r="9162" b="22952"/>
        <a:stretch/>
      </xdr:blipFill>
      <xdr:spPr>
        <a:xfrm>
          <a:off x="0" y="123825"/>
          <a:ext cx="5791200" cy="26691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10</xdr:col>
      <xdr:colOff>9525</xdr:colOff>
      <xdr:row>14</xdr:row>
      <xdr:rowOff>67444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80560BE-C3C9-5DCB-2295-E5D4E33CA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259" t="5598" r="8080" b="23147"/>
        <a:stretch/>
      </xdr:blipFill>
      <xdr:spPr>
        <a:xfrm>
          <a:off x="0" y="57150"/>
          <a:ext cx="6343650" cy="26772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104776</xdr:rowOff>
    </xdr:from>
    <xdr:to>
      <xdr:col>13</xdr:col>
      <xdr:colOff>581025</xdr:colOff>
      <xdr:row>12</xdr:row>
      <xdr:rowOff>50780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2642A42-07E6-CA66-A150-5346E5242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122" t="30157" r="1582" b="26173"/>
        <a:stretch/>
      </xdr:blipFill>
      <xdr:spPr>
        <a:xfrm>
          <a:off x="0" y="104776"/>
          <a:ext cx="8477250" cy="223200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34F9-7B0D-433C-A931-489E84847A7E}">
  <dimension ref="A2:D9"/>
  <sheetViews>
    <sheetView workbookViewId="0">
      <selection activeCell="G10" sqref="G10"/>
    </sheetView>
  </sheetViews>
  <sheetFormatPr defaultRowHeight="15" x14ac:dyDescent="0.25"/>
  <cols>
    <col min="2" max="3" width="12.7109375" customWidth="1"/>
    <col min="4" max="4" width="19" customWidth="1"/>
  </cols>
  <sheetData>
    <row r="2" spans="1:4" x14ac:dyDescent="0.25">
      <c r="A2">
        <v>3.5</v>
      </c>
      <c r="B2">
        <v>1.5</v>
      </c>
      <c r="C2">
        <f>A2-B2</f>
        <v>2</v>
      </c>
    </row>
    <row r="3" spans="1:4" x14ac:dyDescent="0.25">
      <c r="A3">
        <f>96+8+48+12+2</f>
        <v>166</v>
      </c>
    </row>
    <row r="4" spans="1:4" x14ac:dyDescent="0.25">
      <c r="A4" t="s">
        <v>364</v>
      </c>
      <c r="B4" t="s">
        <v>365</v>
      </c>
      <c r="C4" t="s">
        <v>366</v>
      </c>
      <c r="D4" t="s">
        <v>367</v>
      </c>
    </row>
    <row r="5" spans="1:4" x14ac:dyDescent="0.25">
      <c r="A5" t="s">
        <v>359</v>
      </c>
      <c r="B5">
        <v>96</v>
      </c>
      <c r="C5" s="40">
        <f>B5/$A$3</f>
        <v>0.57831325301204817</v>
      </c>
      <c r="D5" s="41">
        <f>($C$2*C5)</f>
        <v>1.1566265060240963</v>
      </c>
    </row>
    <row r="6" spans="1:4" x14ac:dyDescent="0.25">
      <c r="A6" t="s">
        <v>360</v>
      </c>
      <c r="B6">
        <v>8</v>
      </c>
      <c r="C6" s="40">
        <f t="shared" ref="C6:C9" si="0">B6/$A$3</f>
        <v>4.8192771084337352E-2</v>
      </c>
      <c r="D6" s="41">
        <f t="shared" ref="D6:D9" si="1">($C$2*C6)</f>
        <v>9.6385542168674704E-2</v>
      </c>
    </row>
    <row r="7" spans="1:4" x14ac:dyDescent="0.25">
      <c r="A7" t="s">
        <v>361</v>
      </c>
      <c r="B7">
        <v>48</v>
      </c>
      <c r="C7" s="40">
        <f t="shared" si="0"/>
        <v>0.28915662650602408</v>
      </c>
      <c r="D7" s="41">
        <f t="shared" si="1"/>
        <v>0.57831325301204817</v>
      </c>
    </row>
    <row r="8" spans="1:4" x14ac:dyDescent="0.25">
      <c r="A8" t="s">
        <v>362</v>
      </c>
      <c r="B8">
        <v>12</v>
      </c>
      <c r="C8" s="40">
        <f t="shared" si="0"/>
        <v>7.2289156626506021E-2</v>
      </c>
      <c r="D8" s="41">
        <f t="shared" si="1"/>
        <v>0.14457831325301204</v>
      </c>
    </row>
    <row r="9" spans="1:4" x14ac:dyDescent="0.25">
      <c r="A9" t="s">
        <v>363</v>
      </c>
      <c r="B9">
        <v>2</v>
      </c>
      <c r="C9" s="40">
        <f t="shared" si="0"/>
        <v>1.2048192771084338E-2</v>
      </c>
      <c r="D9" s="41">
        <f t="shared" si="1"/>
        <v>2.4096385542168676E-2</v>
      </c>
    </row>
  </sheetData>
  <pageMargins left="0.7" right="0.7" top="0.78740157499999996" bottom="0.78740157499999996" header="0.3" footer="0.3"/>
  <cellWatches>
    <cellWatch r="D5"/>
    <cellWatch r="D6"/>
    <cellWatch r="D7"/>
    <cellWatch r="D8"/>
    <cellWatch r="D9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A2D96-8B3D-4DA4-97D2-B93411F23619}">
  <sheetPr codeName="List14">
    <tabColor rgb="FFEE5454"/>
  </sheetPr>
  <dimension ref="A14:E48"/>
  <sheetViews>
    <sheetView showRuler="0" topLeftCell="A4" zoomScaleNormal="100" workbookViewId="0">
      <selection activeCell="R39" sqref="R39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4" x14ac:dyDescent="0.25">
      <c r="A14" s="26"/>
      <c r="B14" s="1"/>
      <c r="D14" s="1"/>
    </row>
    <row r="17" spans="1:5" x14ac:dyDescent="0.25">
      <c r="A17" t="s">
        <v>151</v>
      </c>
      <c r="D17">
        <v>31.635000000000002</v>
      </c>
      <c r="E17" s="25" t="s">
        <v>472</v>
      </c>
    </row>
    <row r="18" spans="1:5" x14ac:dyDescent="0.25">
      <c r="A18" t="s">
        <v>153</v>
      </c>
      <c r="D18">
        <v>7</v>
      </c>
      <c r="E18" t="s">
        <v>108</v>
      </c>
    </row>
    <row r="19" spans="1:5" x14ac:dyDescent="0.25">
      <c r="A19" t="s">
        <v>155</v>
      </c>
      <c r="D19">
        <v>1.3</v>
      </c>
      <c r="E19" t="s">
        <v>402</v>
      </c>
    </row>
    <row r="20" spans="1:5" x14ac:dyDescent="0.25">
      <c r="A20" s="26" t="s">
        <v>156</v>
      </c>
      <c r="B20" s="1"/>
      <c r="D20" s="1">
        <v>1.67</v>
      </c>
    </row>
    <row r="21" spans="1:5" x14ac:dyDescent="0.25">
      <c r="A21" s="26" t="s">
        <v>135</v>
      </c>
      <c r="B21" s="1"/>
      <c r="D21" s="1">
        <v>1.3</v>
      </c>
    </row>
    <row r="23" spans="1:5" x14ac:dyDescent="0.25">
      <c r="A23" s="11" t="s">
        <v>18</v>
      </c>
      <c r="B23" s="12"/>
      <c r="C23" s="12"/>
      <c r="D23" s="18"/>
    </row>
    <row r="24" spans="1:5" x14ac:dyDescent="0.25">
      <c r="A24" s="32" t="s">
        <v>117</v>
      </c>
      <c r="B24" s="12"/>
      <c r="C24" s="18"/>
      <c r="D24" s="12">
        <v>420</v>
      </c>
    </row>
    <row r="25" spans="1:5" x14ac:dyDescent="0.25">
      <c r="A25" s="32" t="s">
        <v>119</v>
      </c>
      <c r="B25" s="12"/>
      <c r="C25" s="11"/>
      <c r="D25" s="19">
        <f>ROUND(D24/D20,3)</f>
        <v>251.49700000000001</v>
      </c>
      <c r="E25" t="s">
        <v>175</v>
      </c>
    </row>
    <row r="27" spans="1:5" x14ac:dyDescent="0.25">
      <c r="A27" s="23" t="s">
        <v>162</v>
      </c>
      <c r="B27" s="14"/>
      <c r="C27" s="14"/>
      <c r="D27" s="15"/>
      <c r="E27" t="s">
        <v>412</v>
      </c>
    </row>
    <row r="28" spans="1:5" x14ac:dyDescent="0.25">
      <c r="A28" s="34" t="s">
        <v>159</v>
      </c>
      <c r="B28" s="14"/>
      <c r="C28" s="15"/>
      <c r="D28" s="14">
        <f>D18*D19</f>
        <v>9.1</v>
      </c>
      <c r="E28" t="s">
        <v>262</v>
      </c>
    </row>
    <row r="29" spans="1:5" x14ac:dyDescent="0.25">
      <c r="A29" s="15" t="s">
        <v>160</v>
      </c>
      <c r="B29" s="15"/>
      <c r="C29" s="15"/>
      <c r="D29" s="15">
        <f>ROUND(D18*1.8*D28,3)</f>
        <v>114.66</v>
      </c>
      <c r="E29" t="s">
        <v>414</v>
      </c>
    </row>
    <row r="30" spans="1:5" x14ac:dyDescent="0.25">
      <c r="A30" s="34" t="s">
        <v>137</v>
      </c>
      <c r="B30" s="14"/>
      <c r="C30" s="23"/>
      <c r="D30" s="24">
        <f>ROUND(D29/D21,3)</f>
        <v>88.2</v>
      </c>
      <c r="E30" t="s">
        <v>174</v>
      </c>
    </row>
    <row r="32" spans="1:5" x14ac:dyDescent="0.25">
      <c r="A32" s="21" t="s">
        <v>164</v>
      </c>
      <c r="B32" s="10"/>
      <c r="C32" s="10"/>
      <c r="D32" s="10"/>
      <c r="E32" t="s">
        <v>406</v>
      </c>
    </row>
    <row r="33" spans="1:5" x14ac:dyDescent="0.25">
      <c r="A33" s="33" t="s">
        <v>165</v>
      </c>
      <c r="B33" s="10"/>
      <c r="C33" s="10"/>
      <c r="D33" s="10">
        <v>9</v>
      </c>
      <c r="E33" t="s">
        <v>407</v>
      </c>
    </row>
    <row r="34" spans="1:5" x14ac:dyDescent="0.25">
      <c r="A34" s="33" t="s">
        <v>166</v>
      </c>
      <c r="B34" s="10"/>
      <c r="C34" s="10"/>
      <c r="D34" s="21">
        <f>D33*D17</f>
        <v>284.71500000000003</v>
      </c>
      <c r="E34" t="s">
        <v>264</v>
      </c>
    </row>
    <row r="36" spans="1:5" x14ac:dyDescent="0.25">
      <c r="A36" s="21" t="s">
        <v>167</v>
      </c>
      <c r="B36" s="10"/>
      <c r="C36" s="10"/>
      <c r="D36" s="10"/>
      <c r="E36" t="s">
        <v>409</v>
      </c>
    </row>
    <row r="37" spans="1:5" x14ac:dyDescent="0.25">
      <c r="A37" s="33" t="s">
        <v>168</v>
      </c>
      <c r="B37" s="10"/>
      <c r="C37" s="10"/>
      <c r="D37" s="10">
        <v>6</v>
      </c>
      <c r="E37" t="s">
        <v>108</v>
      </c>
    </row>
    <row r="38" spans="1:5" x14ac:dyDescent="0.25">
      <c r="A38" s="33" t="s">
        <v>169</v>
      </c>
      <c r="B38" s="10"/>
      <c r="C38" s="10"/>
      <c r="D38" s="21">
        <f>D37*D18</f>
        <v>42</v>
      </c>
      <c r="E38" t="s">
        <v>294</v>
      </c>
    </row>
    <row r="48" spans="1:5" ht="15.75" x14ac:dyDescent="0.25">
      <c r="A48" s="4" t="s">
        <v>66</v>
      </c>
      <c r="B48" s="1"/>
      <c r="C48" s="3">
        <f>ROUND(((D25+D30+D34+D38)/(72*10.885)),3)</f>
        <v>0.85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5439E-51A5-4691-A1D8-3CAE76E6BE58}">
  <sheetPr codeName="List15">
    <tabColor rgb="FFEE5454"/>
  </sheetPr>
  <dimension ref="A14:F48"/>
  <sheetViews>
    <sheetView workbookViewId="0">
      <selection activeCell="R39" sqref="R39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11</v>
      </c>
      <c r="E14" s="25"/>
    </row>
    <row r="15" spans="1:5" x14ac:dyDescent="0.25">
      <c r="A15" t="s">
        <v>114</v>
      </c>
      <c r="D15">
        <v>1.5</v>
      </c>
      <c r="E15" t="s">
        <v>430</v>
      </c>
    </row>
    <row r="16" spans="1:5" x14ac:dyDescent="0.25">
      <c r="A16" t="s">
        <v>88</v>
      </c>
      <c r="D16">
        <f>ROUND(D14/D15,3)</f>
        <v>7.3330000000000002</v>
      </c>
      <c r="E16" t="s">
        <v>176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513.31000000000006</v>
      </c>
      <c r="E21" t="s">
        <v>265</v>
      </c>
    </row>
    <row r="22" spans="1:5" x14ac:dyDescent="0.25">
      <c r="A22" s="32" t="s">
        <v>119</v>
      </c>
      <c r="B22" s="12"/>
      <c r="C22" s="11"/>
      <c r="D22" s="19">
        <f>ROUND(D21/D17,3)</f>
        <v>277.46499999999997</v>
      </c>
      <c r="E22" t="s">
        <v>177</v>
      </c>
    </row>
    <row r="24" spans="1:5" x14ac:dyDescent="0.25">
      <c r="A24" s="21" t="s">
        <v>178</v>
      </c>
      <c r="B24" s="10"/>
      <c r="C24" s="10"/>
      <c r="D24" s="10"/>
      <c r="E24" t="s">
        <v>415</v>
      </c>
    </row>
    <row r="25" spans="1:5" x14ac:dyDescent="0.25">
      <c r="A25" s="33" t="s">
        <v>122</v>
      </c>
      <c r="B25" s="10"/>
      <c r="C25" s="10"/>
      <c r="D25" s="10">
        <v>10</v>
      </c>
    </row>
    <row r="26" spans="1:5" x14ac:dyDescent="0.25">
      <c r="A26" s="33" t="s">
        <v>123</v>
      </c>
      <c r="B26" s="10"/>
      <c r="C26" s="10"/>
      <c r="D26" s="21">
        <f>D25*D16</f>
        <v>73.33</v>
      </c>
      <c r="E26" t="s">
        <v>266</v>
      </c>
    </row>
    <row r="28" spans="1:5" x14ac:dyDescent="0.25">
      <c r="A28" s="21" t="s">
        <v>179</v>
      </c>
      <c r="B28" s="10"/>
      <c r="C28" s="10"/>
      <c r="D28" s="10"/>
      <c r="E28" t="s">
        <v>416</v>
      </c>
    </row>
    <row r="29" spans="1:5" x14ac:dyDescent="0.25">
      <c r="A29" s="33" t="s">
        <v>125</v>
      </c>
      <c r="B29" s="10"/>
      <c r="C29" s="10"/>
      <c r="D29" s="10">
        <v>15</v>
      </c>
    </row>
    <row r="30" spans="1:5" x14ac:dyDescent="0.25">
      <c r="A30" s="33" t="s">
        <v>126</v>
      </c>
      <c r="B30" s="10"/>
      <c r="C30" s="10"/>
      <c r="D30" s="21">
        <f>D29*D14</f>
        <v>165</v>
      </c>
      <c r="E30" t="s">
        <v>267</v>
      </c>
    </row>
    <row r="32" spans="1:5" x14ac:dyDescent="0.25">
      <c r="A32" s="21" t="s">
        <v>180</v>
      </c>
      <c r="B32" s="10"/>
      <c r="C32" s="10"/>
      <c r="D32" s="10"/>
      <c r="E32" t="s">
        <v>417</v>
      </c>
    </row>
    <row r="33" spans="1:6" x14ac:dyDescent="0.25">
      <c r="A33" s="33" t="s">
        <v>181</v>
      </c>
      <c r="B33" s="10"/>
      <c r="C33" s="10"/>
      <c r="D33" s="10">
        <v>2</v>
      </c>
    </row>
    <row r="34" spans="1:6" x14ac:dyDescent="0.25">
      <c r="A34" s="33" t="s">
        <v>182</v>
      </c>
      <c r="B34" s="10"/>
      <c r="C34" s="10"/>
      <c r="D34" s="21">
        <f>D33*D14*2</f>
        <v>44</v>
      </c>
      <c r="E34" t="s">
        <v>268</v>
      </c>
    </row>
    <row r="37" spans="1:6" ht="15.75" x14ac:dyDescent="0.25">
      <c r="E37" s="22"/>
    </row>
    <row r="38" spans="1:6" ht="15.75" x14ac:dyDescent="0.25">
      <c r="F38" s="22"/>
    </row>
    <row r="48" spans="1:6" ht="15.75" x14ac:dyDescent="0.25">
      <c r="A48" s="4" t="s">
        <v>66</v>
      </c>
      <c r="B48" s="1"/>
      <c r="C48" s="3">
        <f>ROUND(((D22+D26+D30+D34)/(72*10.885)),3)</f>
        <v>0.71399999999999997</v>
      </c>
    </row>
  </sheetData>
  <pageMargins left="0.19685039370078741" right="0.19685039370078741" top="0.19685039370078741" bottom="0.19685039370078741" header="0" footer="0"/>
  <pageSetup paperSize="9" scale="75" orientation="portrait" r:id="rId1"/>
  <headerFooter>
    <oddHeader>&amp;C&amp;"MS UI Gothic"&amp;10&amp;K000000•• PROTECTED 関係者外秘&amp;1#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599C-A042-473E-BAFE-29EE0CDB4F93}">
  <sheetPr codeName="List16">
    <tabColor rgb="FFEE5454"/>
  </sheetPr>
  <dimension ref="A14:F48"/>
  <sheetViews>
    <sheetView showRuler="0" zoomScaleNormal="100" workbookViewId="0">
      <selection activeCell="R39" sqref="R39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4" x14ac:dyDescent="0.25">
      <c r="A14" t="s">
        <v>113</v>
      </c>
      <c r="D14">
        <v>7.3330000000000002</v>
      </c>
    </row>
    <row r="15" spans="1:4" x14ac:dyDescent="0.25">
      <c r="A15" t="s">
        <v>116</v>
      </c>
      <c r="D15">
        <v>1.85</v>
      </c>
    </row>
    <row r="17" spans="1:5" x14ac:dyDescent="0.25">
      <c r="A17" s="11" t="s">
        <v>183</v>
      </c>
      <c r="B17" s="12"/>
      <c r="C17" s="12"/>
      <c r="D17" s="18"/>
      <c r="E17" t="s">
        <v>418</v>
      </c>
    </row>
    <row r="18" spans="1:5" x14ac:dyDescent="0.25">
      <c r="A18" s="32" t="s">
        <v>117</v>
      </c>
      <c r="B18" s="12"/>
      <c r="C18" s="18"/>
      <c r="D18" s="12">
        <v>30</v>
      </c>
      <c r="E18" t="s">
        <v>390</v>
      </c>
    </row>
    <row r="19" spans="1:5" x14ac:dyDescent="0.25">
      <c r="A19" s="32" t="s">
        <v>118</v>
      </c>
      <c r="B19" s="12"/>
      <c r="C19" s="18"/>
      <c r="D19" s="12">
        <f>60*D14</f>
        <v>439.98</v>
      </c>
      <c r="E19" t="s">
        <v>269</v>
      </c>
    </row>
    <row r="20" spans="1:5" x14ac:dyDescent="0.25">
      <c r="A20" s="32" t="s">
        <v>119</v>
      </c>
      <c r="B20" s="12"/>
      <c r="C20" s="11"/>
      <c r="D20" s="19">
        <f>ROUND(D19/D15,3)</f>
        <v>237.827</v>
      </c>
      <c r="E20" t="s">
        <v>184</v>
      </c>
    </row>
    <row r="22" spans="1:5" x14ac:dyDescent="0.25">
      <c r="A22" s="11" t="s">
        <v>185</v>
      </c>
      <c r="B22" s="12"/>
      <c r="C22" s="12"/>
      <c r="D22" s="18"/>
      <c r="E22" t="s">
        <v>419</v>
      </c>
    </row>
    <row r="23" spans="1:5" x14ac:dyDescent="0.25">
      <c r="A23" s="32" t="s">
        <v>117</v>
      </c>
      <c r="B23" s="12"/>
      <c r="C23" s="18"/>
      <c r="D23" s="12">
        <v>40</v>
      </c>
      <c r="E23" t="s">
        <v>420</v>
      </c>
    </row>
    <row r="24" spans="1:5" x14ac:dyDescent="0.25">
      <c r="A24" s="32" t="s">
        <v>118</v>
      </c>
      <c r="B24" s="12"/>
      <c r="C24" s="18"/>
      <c r="D24" s="12">
        <f>80*(D14/2)</f>
        <v>293.32</v>
      </c>
      <c r="E24" t="s">
        <v>270</v>
      </c>
    </row>
    <row r="25" spans="1:5" x14ac:dyDescent="0.25">
      <c r="A25" s="32" t="s">
        <v>119</v>
      </c>
      <c r="B25" s="12"/>
      <c r="C25" s="11"/>
      <c r="D25" s="19">
        <f>ROUND(D24/D15,3)</f>
        <v>158.55099999999999</v>
      </c>
      <c r="E25" t="s">
        <v>186</v>
      </c>
    </row>
    <row r="27" spans="1:5" x14ac:dyDescent="0.25">
      <c r="A27" s="21" t="s">
        <v>187</v>
      </c>
      <c r="B27" s="10"/>
      <c r="C27" s="10"/>
      <c r="D27" s="10"/>
    </row>
    <row r="28" spans="1:5" x14ac:dyDescent="0.25">
      <c r="A28" s="33" t="s">
        <v>122</v>
      </c>
      <c r="B28" s="10"/>
      <c r="C28" s="10"/>
      <c r="D28" s="10">
        <v>10</v>
      </c>
    </row>
    <row r="29" spans="1:5" x14ac:dyDescent="0.25">
      <c r="A29" s="33" t="s">
        <v>123</v>
      </c>
      <c r="B29" s="10"/>
      <c r="C29" s="10"/>
      <c r="D29" s="21">
        <f>D28*D14</f>
        <v>73.33</v>
      </c>
      <c r="E29" t="s">
        <v>266</v>
      </c>
    </row>
    <row r="31" spans="1:5" x14ac:dyDescent="0.25">
      <c r="A31" s="21" t="s">
        <v>188</v>
      </c>
      <c r="B31" s="10"/>
      <c r="C31" s="10"/>
      <c r="D31" s="10"/>
    </row>
    <row r="32" spans="1:5" x14ac:dyDescent="0.25">
      <c r="A32" s="33" t="s">
        <v>125</v>
      </c>
      <c r="B32" s="10"/>
      <c r="C32" s="10"/>
      <c r="D32" s="10">
        <v>10</v>
      </c>
    </row>
    <row r="33" spans="1:6" x14ac:dyDescent="0.25">
      <c r="A33" s="33" t="s">
        <v>126</v>
      </c>
      <c r="B33" s="10"/>
      <c r="C33" s="10"/>
      <c r="D33" s="21">
        <f>D32*D14</f>
        <v>73.33</v>
      </c>
      <c r="E33" t="s">
        <v>266</v>
      </c>
    </row>
    <row r="35" spans="1:6" x14ac:dyDescent="0.25">
      <c r="A35" s="21" t="s">
        <v>189</v>
      </c>
      <c r="B35" s="10"/>
      <c r="C35" s="10"/>
      <c r="D35" s="10"/>
    </row>
    <row r="36" spans="1:6" x14ac:dyDescent="0.25">
      <c r="A36" s="33" t="s">
        <v>125</v>
      </c>
      <c r="B36" s="10"/>
      <c r="C36" s="10"/>
      <c r="D36" s="10">
        <v>10</v>
      </c>
    </row>
    <row r="37" spans="1:6" x14ac:dyDescent="0.25">
      <c r="A37" s="33" t="s">
        <v>126</v>
      </c>
      <c r="B37" s="10"/>
      <c r="C37" s="10"/>
      <c r="D37" s="21">
        <f>D36*D14</f>
        <v>73.33</v>
      </c>
      <c r="E37" t="s">
        <v>266</v>
      </c>
    </row>
    <row r="38" spans="1:6" ht="15.75" x14ac:dyDescent="0.25">
      <c r="F38" s="22"/>
    </row>
    <row r="39" spans="1:6" x14ac:dyDescent="0.25">
      <c r="A39" s="21" t="s">
        <v>180</v>
      </c>
      <c r="B39" s="10"/>
      <c r="C39" s="10"/>
      <c r="D39" s="10"/>
      <c r="E39" t="s">
        <v>417</v>
      </c>
    </row>
    <row r="40" spans="1:6" x14ac:dyDescent="0.25">
      <c r="A40" s="33" t="s">
        <v>181</v>
      </c>
      <c r="B40" s="10"/>
      <c r="C40" s="10"/>
      <c r="D40" s="10">
        <v>2</v>
      </c>
    </row>
    <row r="41" spans="1:6" x14ac:dyDescent="0.25">
      <c r="A41" s="33" t="s">
        <v>182</v>
      </c>
      <c r="B41" s="10"/>
      <c r="C41" s="10"/>
      <c r="D41" s="21">
        <f>D40*D14*2</f>
        <v>29.332000000000001</v>
      </c>
      <c r="E41" t="s">
        <v>271</v>
      </c>
    </row>
    <row r="48" spans="1:6" ht="15.75" x14ac:dyDescent="0.25">
      <c r="A48" s="4" t="s">
        <v>66</v>
      </c>
      <c r="B48" s="1"/>
      <c r="C48" s="3">
        <f>ROUND(((D20+D25+D29+D33+D37+D41)/(72*10.885)),3)</f>
        <v>0.82399999999999995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568F-0260-40B2-9FBA-1B7A0E9F4AF6}">
  <sheetPr codeName="List17">
    <tabColor rgb="FFEE5454"/>
  </sheetPr>
  <dimension ref="A14:F48"/>
  <sheetViews>
    <sheetView showRuler="0" zoomScaleNormal="100" workbookViewId="0">
      <selection activeCell="R39" sqref="R39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4" x14ac:dyDescent="0.25">
      <c r="A14" t="s">
        <v>113</v>
      </c>
      <c r="D14">
        <v>7.6669999999999998</v>
      </c>
    </row>
    <row r="15" spans="1:4" x14ac:dyDescent="0.25">
      <c r="A15" t="s">
        <v>116</v>
      </c>
      <c r="D15">
        <v>1.85</v>
      </c>
    </row>
    <row r="17" spans="1:5" x14ac:dyDescent="0.25">
      <c r="A17" s="11" t="s">
        <v>183</v>
      </c>
      <c r="B17" s="12"/>
      <c r="C17" s="12"/>
      <c r="D17" s="18"/>
      <c r="E17" t="s">
        <v>418</v>
      </c>
    </row>
    <row r="18" spans="1:5" x14ac:dyDescent="0.25">
      <c r="A18" s="32" t="s">
        <v>117</v>
      </c>
      <c r="B18" s="12"/>
      <c r="C18" s="18"/>
      <c r="D18" s="12">
        <v>30</v>
      </c>
      <c r="E18" t="s">
        <v>390</v>
      </c>
    </row>
    <row r="19" spans="1:5" x14ac:dyDescent="0.25">
      <c r="A19" s="32" t="s">
        <v>118</v>
      </c>
      <c r="B19" s="12"/>
      <c r="C19" s="18"/>
      <c r="D19" s="12">
        <f>60*D14</f>
        <v>460.02</v>
      </c>
      <c r="E19" t="s">
        <v>272</v>
      </c>
    </row>
    <row r="20" spans="1:5" x14ac:dyDescent="0.25">
      <c r="A20" s="32" t="s">
        <v>119</v>
      </c>
      <c r="B20" s="12"/>
      <c r="C20" s="11"/>
      <c r="D20" s="19">
        <f>ROUND(D19/D15,3)</f>
        <v>248.65899999999999</v>
      </c>
      <c r="E20" t="s">
        <v>384</v>
      </c>
    </row>
    <row r="22" spans="1:5" x14ac:dyDescent="0.25">
      <c r="A22" s="11" t="s">
        <v>185</v>
      </c>
      <c r="B22" s="12"/>
      <c r="C22" s="12"/>
      <c r="D22" s="18"/>
      <c r="E22" t="s">
        <v>419</v>
      </c>
    </row>
    <row r="23" spans="1:5" x14ac:dyDescent="0.25">
      <c r="A23" s="32" t="s">
        <v>117</v>
      </c>
      <c r="B23" s="12"/>
      <c r="C23" s="18"/>
      <c r="D23" s="12">
        <v>30</v>
      </c>
      <c r="E23" t="s">
        <v>390</v>
      </c>
    </row>
    <row r="24" spans="1:5" x14ac:dyDescent="0.25">
      <c r="A24" s="32" t="s">
        <v>118</v>
      </c>
      <c r="B24" s="12"/>
      <c r="C24" s="18"/>
      <c r="D24" s="12">
        <f>60*(D14/2)</f>
        <v>230.01</v>
      </c>
      <c r="E24" t="s">
        <v>273</v>
      </c>
    </row>
    <row r="25" spans="1:5" x14ac:dyDescent="0.25">
      <c r="A25" s="32" t="s">
        <v>119</v>
      </c>
      <c r="B25" s="12"/>
      <c r="C25" s="11"/>
      <c r="D25" s="19">
        <f>ROUND(D24/D15,3)</f>
        <v>124.33</v>
      </c>
      <c r="E25" t="s">
        <v>385</v>
      </c>
    </row>
    <row r="27" spans="1:5" x14ac:dyDescent="0.25">
      <c r="A27" s="21" t="s">
        <v>187</v>
      </c>
      <c r="B27" s="10"/>
      <c r="C27" s="10"/>
      <c r="D27" s="10"/>
    </row>
    <row r="28" spans="1:5" x14ac:dyDescent="0.25">
      <c r="A28" s="33" t="s">
        <v>122</v>
      </c>
      <c r="B28" s="10"/>
      <c r="C28" s="10"/>
      <c r="D28" s="10">
        <v>10</v>
      </c>
    </row>
    <row r="29" spans="1:5" x14ac:dyDescent="0.25">
      <c r="A29" s="33" t="s">
        <v>123</v>
      </c>
      <c r="B29" s="10"/>
      <c r="C29" s="10"/>
      <c r="D29" s="21">
        <f>D28*D14</f>
        <v>76.67</v>
      </c>
      <c r="E29" t="s">
        <v>274</v>
      </c>
    </row>
    <row r="31" spans="1:5" x14ac:dyDescent="0.25">
      <c r="A31" s="21" t="s">
        <v>188</v>
      </c>
      <c r="B31" s="10"/>
      <c r="C31" s="10"/>
      <c r="D31" s="10"/>
    </row>
    <row r="32" spans="1:5" x14ac:dyDescent="0.25">
      <c r="A32" s="33" t="s">
        <v>125</v>
      </c>
      <c r="B32" s="10"/>
      <c r="C32" s="10"/>
      <c r="D32" s="10">
        <v>10</v>
      </c>
    </row>
    <row r="33" spans="1:6" x14ac:dyDescent="0.25">
      <c r="A33" s="33" t="s">
        <v>126</v>
      </c>
      <c r="B33" s="10"/>
      <c r="C33" s="10"/>
      <c r="D33" s="21">
        <f>D32*D14</f>
        <v>76.67</v>
      </c>
      <c r="E33" t="s">
        <v>274</v>
      </c>
    </row>
    <row r="35" spans="1:6" x14ac:dyDescent="0.25">
      <c r="A35" s="21" t="s">
        <v>189</v>
      </c>
      <c r="B35" s="10"/>
      <c r="C35" s="10"/>
      <c r="D35" s="10"/>
    </row>
    <row r="36" spans="1:6" x14ac:dyDescent="0.25">
      <c r="A36" s="33" t="s">
        <v>125</v>
      </c>
      <c r="B36" s="10"/>
      <c r="C36" s="10"/>
      <c r="D36" s="10">
        <v>10</v>
      </c>
    </row>
    <row r="37" spans="1:6" x14ac:dyDescent="0.25">
      <c r="A37" s="33" t="s">
        <v>126</v>
      </c>
      <c r="B37" s="10"/>
      <c r="C37" s="10"/>
      <c r="D37" s="21">
        <f>D36*D14</f>
        <v>76.67</v>
      </c>
      <c r="E37" t="s">
        <v>274</v>
      </c>
    </row>
    <row r="38" spans="1:6" ht="15.75" x14ac:dyDescent="0.25">
      <c r="F38" s="22"/>
    </row>
    <row r="39" spans="1:6" x14ac:dyDescent="0.25">
      <c r="A39" s="21" t="s">
        <v>180</v>
      </c>
      <c r="B39" s="10"/>
      <c r="C39" s="10"/>
      <c r="D39" s="10"/>
      <c r="E39" t="s">
        <v>417</v>
      </c>
    </row>
    <row r="40" spans="1:6" x14ac:dyDescent="0.25">
      <c r="A40" s="33" t="s">
        <v>181</v>
      </c>
      <c r="B40" s="10"/>
      <c r="C40" s="10"/>
      <c r="D40" s="10">
        <v>2</v>
      </c>
    </row>
    <row r="41" spans="1:6" x14ac:dyDescent="0.25">
      <c r="A41" s="33" t="s">
        <v>182</v>
      </c>
      <c r="B41" s="10"/>
      <c r="C41" s="10"/>
      <c r="D41" s="21">
        <f>D40*D14*2</f>
        <v>30.667999999999999</v>
      </c>
      <c r="E41" t="s">
        <v>275</v>
      </c>
    </row>
    <row r="48" spans="1:6" ht="15.75" x14ac:dyDescent="0.25">
      <c r="A48" s="4" t="s">
        <v>66</v>
      </c>
      <c r="B48" s="1"/>
      <c r="C48" s="3">
        <f>ROUND(((D20+D25+D29+D33+D37+D41)/(72*10.885)),3)</f>
        <v>0.80900000000000005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DA33-7CDF-4092-A109-46375BD85530}">
  <sheetPr codeName="List18">
    <tabColor rgb="FFEE5454"/>
  </sheetPr>
  <dimension ref="A17:F53"/>
  <sheetViews>
    <sheetView showRuler="0" topLeftCell="A22" zoomScaleNormal="100" workbookViewId="0">
      <selection activeCell="R39" sqref="R39"/>
    </sheetView>
  </sheetViews>
  <sheetFormatPr defaultRowHeight="15" x14ac:dyDescent="0.25"/>
  <cols>
    <col min="3" max="3" width="9.7109375" customWidth="1"/>
    <col min="4" max="4" width="9.140625" customWidth="1"/>
    <col min="5" max="5" width="9.28515625" customWidth="1"/>
  </cols>
  <sheetData>
    <row r="17" spans="1:5" x14ac:dyDescent="0.25">
      <c r="A17" t="s">
        <v>113</v>
      </c>
      <c r="D17">
        <v>5.1669999999999998</v>
      </c>
    </row>
    <row r="18" spans="1:5" x14ac:dyDescent="0.25">
      <c r="A18" s="26" t="s">
        <v>156</v>
      </c>
      <c r="B18" s="1"/>
      <c r="D18" s="1">
        <v>1.67</v>
      </c>
    </row>
    <row r="19" spans="1:5" x14ac:dyDescent="0.25">
      <c r="A19" s="26" t="s">
        <v>135</v>
      </c>
      <c r="B19" s="1"/>
      <c r="D19" s="1">
        <v>1.3</v>
      </c>
    </row>
    <row r="21" spans="1:5" x14ac:dyDescent="0.25">
      <c r="A21" s="11" t="s">
        <v>190</v>
      </c>
      <c r="B21" s="12"/>
      <c r="C21" s="12"/>
      <c r="D21" s="18"/>
    </row>
    <row r="22" spans="1:5" x14ac:dyDescent="0.25">
      <c r="A22" s="32" t="s">
        <v>117</v>
      </c>
      <c r="B22" s="12"/>
      <c r="C22" s="18"/>
      <c r="D22" s="12">
        <v>825</v>
      </c>
    </row>
    <row r="23" spans="1:5" x14ac:dyDescent="0.25">
      <c r="A23" s="32" t="s">
        <v>119</v>
      </c>
      <c r="B23" s="12"/>
      <c r="C23" s="11"/>
      <c r="D23" s="19">
        <f>ROUND(D22/D18,3)</f>
        <v>494.012</v>
      </c>
      <c r="E23" t="s">
        <v>191</v>
      </c>
    </row>
    <row r="25" spans="1:5" x14ac:dyDescent="0.25">
      <c r="A25" s="23" t="s">
        <v>192</v>
      </c>
      <c r="B25" s="14"/>
      <c r="C25" s="14"/>
      <c r="D25" s="15"/>
      <c r="E25" t="s">
        <v>421</v>
      </c>
    </row>
    <row r="26" spans="1:5" x14ac:dyDescent="0.25">
      <c r="A26" s="34" t="s">
        <v>117</v>
      </c>
      <c r="B26" s="14"/>
      <c r="C26" s="15"/>
      <c r="D26" s="14">
        <v>32</v>
      </c>
    </row>
    <row r="27" spans="1:5" x14ac:dyDescent="0.25">
      <c r="A27" s="34" t="s">
        <v>119</v>
      </c>
      <c r="B27" s="14"/>
      <c r="C27" s="23"/>
      <c r="D27" s="24">
        <f>ROUND(D26/D19,3)</f>
        <v>24.614999999999998</v>
      </c>
      <c r="E27" t="s">
        <v>193</v>
      </c>
    </row>
    <row r="29" spans="1:5" x14ac:dyDescent="0.25">
      <c r="A29" s="23" t="s">
        <v>194</v>
      </c>
      <c r="B29" s="14"/>
      <c r="C29" s="14"/>
      <c r="D29" s="15"/>
      <c r="E29" t="s">
        <v>422</v>
      </c>
    </row>
    <row r="30" spans="1:5" x14ac:dyDescent="0.25">
      <c r="A30" s="34" t="s">
        <v>117</v>
      </c>
      <c r="B30" s="14"/>
      <c r="C30" s="15"/>
      <c r="D30" s="14">
        <v>81</v>
      </c>
    </row>
    <row r="31" spans="1:5" x14ac:dyDescent="0.25">
      <c r="A31" s="34" t="s">
        <v>119</v>
      </c>
      <c r="B31" s="14"/>
      <c r="C31" s="23"/>
      <c r="D31" s="24">
        <f>ROUND(D30/D19,3)</f>
        <v>62.308</v>
      </c>
      <c r="E31" t="s">
        <v>195</v>
      </c>
    </row>
    <row r="33" spans="1:6" x14ac:dyDescent="0.25">
      <c r="A33" s="21" t="s">
        <v>196</v>
      </c>
      <c r="B33" s="10"/>
      <c r="C33" s="10"/>
      <c r="D33" s="10"/>
      <c r="E33" t="s">
        <v>423</v>
      </c>
    </row>
    <row r="34" spans="1:6" x14ac:dyDescent="0.25">
      <c r="A34" s="33" t="s">
        <v>197</v>
      </c>
      <c r="B34" s="10"/>
      <c r="C34" s="10"/>
      <c r="D34" s="10">
        <v>120</v>
      </c>
    </row>
    <row r="35" spans="1:6" x14ac:dyDescent="0.25">
      <c r="A35" s="10" t="s">
        <v>198</v>
      </c>
      <c r="B35" s="10"/>
      <c r="C35" s="10"/>
      <c r="D35" s="33">
        <f>ROUND(4/58.056,3)</f>
        <v>6.9000000000000006E-2</v>
      </c>
      <c r="E35" t="s">
        <v>424</v>
      </c>
    </row>
    <row r="36" spans="1:6" x14ac:dyDescent="0.25">
      <c r="A36" s="10" t="s">
        <v>199</v>
      </c>
      <c r="B36" s="10"/>
      <c r="C36" s="10"/>
      <c r="D36" s="21">
        <f>D34*D35</f>
        <v>8.2800000000000011</v>
      </c>
      <c r="E36" t="s">
        <v>293</v>
      </c>
    </row>
    <row r="38" spans="1:6" x14ac:dyDescent="0.25">
      <c r="A38" s="21" t="s">
        <v>200</v>
      </c>
      <c r="B38" s="10"/>
      <c r="C38" s="10"/>
      <c r="D38" s="10"/>
      <c r="E38" t="s">
        <v>425</v>
      </c>
    </row>
    <row r="39" spans="1:6" x14ac:dyDescent="0.25">
      <c r="A39" s="33" t="s">
        <v>201</v>
      </c>
      <c r="B39" s="10"/>
      <c r="C39" s="10"/>
      <c r="D39" s="21">
        <v>410</v>
      </c>
    </row>
    <row r="41" spans="1:6" x14ac:dyDescent="0.25">
      <c r="A41" s="21" t="s">
        <v>202</v>
      </c>
      <c r="B41" s="10"/>
      <c r="C41" s="10"/>
      <c r="D41" s="10"/>
      <c r="E41" t="s">
        <v>426</v>
      </c>
    </row>
    <row r="42" spans="1:6" x14ac:dyDescent="0.25">
      <c r="A42" s="33" t="s">
        <v>203</v>
      </c>
      <c r="B42" s="10"/>
      <c r="C42" s="10"/>
      <c r="D42" s="10">
        <v>10</v>
      </c>
    </row>
    <row r="43" spans="1:6" ht="15.75" x14ac:dyDescent="0.25">
      <c r="A43" s="33" t="s">
        <v>204</v>
      </c>
      <c r="B43" s="10"/>
      <c r="C43" s="10"/>
      <c r="D43" s="21">
        <f>D42*D17</f>
        <v>51.67</v>
      </c>
      <c r="E43" t="s">
        <v>277</v>
      </c>
      <c r="F43" s="22"/>
    </row>
    <row r="45" spans="1:6" x14ac:dyDescent="0.25">
      <c r="A45" s="21" t="s">
        <v>205</v>
      </c>
      <c r="B45" s="10"/>
      <c r="C45" s="10"/>
      <c r="D45" s="10"/>
      <c r="E45" t="s">
        <v>427</v>
      </c>
    </row>
    <row r="46" spans="1:6" x14ac:dyDescent="0.25">
      <c r="A46" s="33" t="s">
        <v>206</v>
      </c>
      <c r="B46" s="10"/>
      <c r="C46" s="10"/>
      <c r="D46" s="10">
        <v>40</v>
      </c>
    </row>
    <row r="47" spans="1:6" x14ac:dyDescent="0.25">
      <c r="A47" s="33" t="s">
        <v>207</v>
      </c>
      <c r="B47" s="10"/>
      <c r="C47" s="10"/>
      <c r="D47" s="21">
        <f>D46*D17</f>
        <v>206.68</v>
      </c>
      <c r="E47" t="s">
        <v>278</v>
      </c>
    </row>
    <row r="49" spans="1:5" x14ac:dyDescent="0.25">
      <c r="A49" s="21" t="s">
        <v>180</v>
      </c>
      <c r="B49" s="10"/>
      <c r="C49" s="10"/>
      <c r="D49" s="10"/>
      <c r="E49" t="s">
        <v>417</v>
      </c>
    </row>
    <row r="50" spans="1:5" x14ac:dyDescent="0.25">
      <c r="A50" s="33" t="s">
        <v>181</v>
      </c>
      <c r="B50" s="10"/>
      <c r="C50" s="10"/>
      <c r="D50" s="10">
        <v>2</v>
      </c>
    </row>
    <row r="51" spans="1:5" x14ac:dyDescent="0.25">
      <c r="A51" s="33" t="s">
        <v>182</v>
      </c>
      <c r="B51" s="10"/>
      <c r="C51" s="10"/>
      <c r="D51" s="21">
        <f>D50*D17*2</f>
        <v>20.667999999999999</v>
      </c>
      <c r="E51" t="s">
        <v>279</v>
      </c>
    </row>
    <row r="53" spans="1:5" ht="15.75" x14ac:dyDescent="0.25">
      <c r="A53" s="4" t="s">
        <v>66</v>
      </c>
      <c r="B53" s="1"/>
      <c r="C53" s="3">
        <f>ROUND(((D23+D27+D31+D39+D43+D51+D47+D36)/(72*18)),3)</f>
        <v>0.98599999999999999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4EC0F-973B-4E6A-B31C-F944E97D7072}">
  <sheetPr codeName="List19">
    <tabColor rgb="FFEE5454"/>
  </sheetPr>
  <dimension ref="A18:F53"/>
  <sheetViews>
    <sheetView showRuler="0" topLeftCell="A13" zoomScale="85" zoomScaleNormal="85" workbookViewId="0">
      <selection activeCell="R39" sqref="R39"/>
    </sheetView>
  </sheetViews>
  <sheetFormatPr defaultRowHeight="15" x14ac:dyDescent="0.25"/>
  <cols>
    <col min="3" max="3" width="9.7109375" customWidth="1"/>
    <col min="4" max="4" width="9.140625" customWidth="1"/>
    <col min="5" max="5" width="9.28515625" customWidth="1"/>
  </cols>
  <sheetData>
    <row r="18" spans="1:5" x14ac:dyDescent="0.25">
      <c r="A18" t="s">
        <v>113</v>
      </c>
      <c r="D18">
        <v>4.766</v>
      </c>
    </row>
    <row r="19" spans="1:5" x14ac:dyDescent="0.25">
      <c r="A19" s="26" t="s">
        <v>156</v>
      </c>
      <c r="B19" s="1"/>
      <c r="D19" s="1">
        <v>1.67</v>
      </c>
    </row>
    <row r="20" spans="1:5" x14ac:dyDescent="0.25">
      <c r="A20" s="26" t="s">
        <v>135</v>
      </c>
      <c r="B20" s="1"/>
      <c r="D20" s="1">
        <v>1.3</v>
      </c>
    </row>
    <row r="22" spans="1:5" x14ac:dyDescent="0.25">
      <c r="A22" s="11" t="s">
        <v>190</v>
      </c>
      <c r="B22" s="12"/>
      <c r="C22" s="12"/>
      <c r="D22" s="18"/>
    </row>
    <row r="23" spans="1:5" x14ac:dyDescent="0.25">
      <c r="A23" s="32" t="s">
        <v>117</v>
      </c>
      <c r="B23" s="12"/>
      <c r="C23" s="18"/>
      <c r="D23" s="12">
        <v>582</v>
      </c>
    </row>
    <row r="24" spans="1:5" x14ac:dyDescent="0.25">
      <c r="A24" s="32" t="s">
        <v>119</v>
      </c>
      <c r="B24" s="12"/>
      <c r="C24" s="11"/>
      <c r="D24" s="19">
        <f>ROUND(D23/D19,3)</f>
        <v>348.50299999999999</v>
      </c>
      <c r="E24" t="s">
        <v>208</v>
      </c>
    </row>
    <row r="26" spans="1:5" x14ac:dyDescent="0.25">
      <c r="A26" s="23" t="s">
        <v>192</v>
      </c>
      <c r="B26" s="14"/>
      <c r="C26" s="14"/>
      <c r="D26" s="15"/>
      <c r="E26" t="s">
        <v>421</v>
      </c>
    </row>
    <row r="27" spans="1:5" x14ac:dyDescent="0.25">
      <c r="A27" s="34" t="s">
        <v>117</v>
      </c>
      <c r="B27" s="14"/>
      <c r="C27" s="15"/>
      <c r="D27" s="14">
        <v>27</v>
      </c>
    </row>
    <row r="28" spans="1:5" x14ac:dyDescent="0.25">
      <c r="A28" s="34" t="s">
        <v>119</v>
      </c>
      <c r="B28" s="14"/>
      <c r="C28" s="23"/>
      <c r="D28" s="24">
        <f>ROUND(D27/D20,3)</f>
        <v>20.768999999999998</v>
      </c>
      <c r="E28" t="s">
        <v>209</v>
      </c>
    </row>
    <row r="30" spans="1:5" x14ac:dyDescent="0.25">
      <c r="A30" s="23" t="s">
        <v>194</v>
      </c>
      <c r="B30" s="14"/>
      <c r="C30" s="14"/>
      <c r="D30" s="15"/>
      <c r="E30" t="s">
        <v>422</v>
      </c>
    </row>
    <row r="31" spans="1:5" x14ac:dyDescent="0.25">
      <c r="A31" s="34" t="s">
        <v>117</v>
      </c>
      <c r="B31" s="14"/>
      <c r="C31" s="15"/>
      <c r="D31" s="14">
        <v>96</v>
      </c>
    </row>
    <row r="32" spans="1:5" x14ac:dyDescent="0.25">
      <c r="A32" s="34" t="s">
        <v>119</v>
      </c>
      <c r="B32" s="14"/>
      <c r="C32" s="23"/>
      <c r="D32" s="24">
        <f>ROUND(D31/D20,3)</f>
        <v>73.846000000000004</v>
      </c>
      <c r="E32" t="s">
        <v>210</v>
      </c>
    </row>
    <row r="34" spans="1:6" x14ac:dyDescent="0.25">
      <c r="A34" s="21" t="s">
        <v>202</v>
      </c>
      <c r="B34" s="10"/>
      <c r="C34" s="10"/>
      <c r="D34" s="10"/>
      <c r="E34" t="s">
        <v>426</v>
      </c>
    </row>
    <row r="35" spans="1:6" x14ac:dyDescent="0.25">
      <c r="A35" s="33" t="s">
        <v>203</v>
      </c>
      <c r="B35" s="10"/>
      <c r="C35" s="10"/>
      <c r="D35" s="10">
        <v>10</v>
      </c>
    </row>
    <row r="36" spans="1:6" ht="15.75" x14ac:dyDescent="0.25">
      <c r="A36" s="33" t="s">
        <v>204</v>
      </c>
      <c r="B36" s="10"/>
      <c r="C36" s="10"/>
      <c r="D36" s="21">
        <f>D35*D18</f>
        <v>47.66</v>
      </c>
      <c r="E36" t="s">
        <v>280</v>
      </c>
      <c r="F36" s="22"/>
    </row>
    <row r="38" spans="1:6" x14ac:dyDescent="0.25">
      <c r="A38" s="21" t="s">
        <v>205</v>
      </c>
      <c r="B38" s="10"/>
      <c r="C38" s="10"/>
      <c r="D38" s="10"/>
      <c r="E38" t="s">
        <v>427</v>
      </c>
    </row>
    <row r="39" spans="1:6" x14ac:dyDescent="0.25">
      <c r="A39" s="33" t="s">
        <v>206</v>
      </c>
      <c r="B39" s="10"/>
      <c r="C39" s="10"/>
      <c r="D39" s="10">
        <v>40</v>
      </c>
    </row>
    <row r="40" spans="1:6" x14ac:dyDescent="0.25">
      <c r="A40" s="33" t="s">
        <v>207</v>
      </c>
      <c r="B40" s="10"/>
      <c r="C40" s="10"/>
      <c r="D40" s="21">
        <f>D39*D18</f>
        <v>190.64</v>
      </c>
      <c r="E40" t="s">
        <v>281</v>
      </c>
    </row>
    <row r="42" spans="1:6" x14ac:dyDescent="0.25">
      <c r="A42" s="21" t="s">
        <v>180</v>
      </c>
      <c r="B42" s="10"/>
      <c r="C42" s="10"/>
      <c r="D42" s="10"/>
      <c r="E42" t="s">
        <v>417</v>
      </c>
    </row>
    <row r="43" spans="1:6" x14ac:dyDescent="0.25">
      <c r="A43" s="33" t="s">
        <v>181</v>
      </c>
      <c r="B43" s="10"/>
      <c r="C43" s="10"/>
      <c r="D43" s="10">
        <v>2</v>
      </c>
    </row>
    <row r="44" spans="1:6" x14ac:dyDescent="0.25">
      <c r="A44" s="33" t="s">
        <v>182</v>
      </c>
      <c r="B44" s="10"/>
      <c r="C44" s="10"/>
      <c r="D44" s="21">
        <f>D43*D18*2</f>
        <v>19.064</v>
      </c>
      <c r="E44" t="s">
        <v>282</v>
      </c>
    </row>
    <row r="53" spans="1:3" ht="15.75" x14ac:dyDescent="0.25">
      <c r="A53" s="4" t="s">
        <v>66</v>
      </c>
      <c r="B53" s="1"/>
      <c r="C53" s="3">
        <f>ROUND(((D24+D28+D32+D40+D44+D36)/(72*12)),3)</f>
        <v>0.81100000000000005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9672F-E6A9-4B37-8381-F709A1DC126E}">
  <sheetPr codeName="List5">
    <tabColor theme="0"/>
  </sheetPr>
  <dimension ref="A1:BT35"/>
  <sheetViews>
    <sheetView workbookViewId="0">
      <pane xSplit="3" ySplit="2" topLeftCell="D5" activePane="bottomRight" state="frozen"/>
      <selection pane="topRight" activeCell="K33" sqref="K33"/>
      <selection pane="bottomLeft" activeCell="K33" sqref="K33"/>
      <selection pane="bottomRight" activeCell="C24" sqref="C24"/>
    </sheetView>
  </sheetViews>
  <sheetFormatPr defaultColWidth="9.140625" defaultRowHeight="15" x14ac:dyDescent="0.25"/>
  <cols>
    <col min="1" max="1" width="17.28515625" style="1" bestFit="1" customWidth="1"/>
    <col min="2" max="4" width="9.140625" style="1"/>
    <col min="5" max="5" width="14.42578125" style="1" customWidth="1"/>
    <col min="6" max="8" width="9.140625" style="1"/>
    <col min="9" max="9" width="14.28515625" style="1" customWidth="1"/>
    <col min="10" max="12" width="9.140625" style="1"/>
    <col min="13" max="13" width="15.5703125" style="1" customWidth="1"/>
    <col min="14" max="14" width="9.140625" style="1"/>
    <col min="15" max="15" width="9" style="1" customWidth="1"/>
    <col min="16" max="16" width="9.140625" style="1"/>
    <col min="17" max="17" width="15.5703125" style="1" customWidth="1"/>
    <col min="18" max="19" width="9.140625" style="1"/>
    <col min="20" max="20" width="5.28515625" style="1" customWidth="1"/>
    <col min="21" max="21" width="15.42578125" style="1" customWidth="1"/>
    <col min="22" max="24" width="9.140625" style="1"/>
    <col min="25" max="25" width="12.5703125" style="1" customWidth="1"/>
    <col min="26" max="28" width="9.140625" style="1"/>
    <col min="29" max="29" width="13.140625" style="1" customWidth="1"/>
    <col min="30" max="32" width="9.140625" style="1"/>
    <col min="33" max="33" width="14.28515625" style="1" customWidth="1"/>
    <col min="34" max="34" width="9.42578125" style="1" customWidth="1"/>
    <col min="35" max="36" width="9.140625" style="1"/>
    <col min="37" max="37" width="14.85546875" style="1" customWidth="1"/>
    <col min="38" max="48" width="9.140625" style="1"/>
    <col min="49" max="49" width="12.85546875" style="1" customWidth="1"/>
    <col min="50" max="58" width="9.140625" style="1"/>
    <col min="59" max="59" width="16.5703125" style="1" bestFit="1" customWidth="1"/>
    <col min="60" max="16384" width="9.140625" style="1"/>
  </cols>
  <sheetData>
    <row r="1" spans="1:72" ht="15" customHeight="1" x14ac:dyDescent="0.2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/>
      <c r="U1" s="50" t="s">
        <v>1</v>
      </c>
      <c r="V1" s="50"/>
      <c r="W1" s="50"/>
      <c r="X1" s="50"/>
      <c r="Y1" s="50"/>
      <c r="Z1" s="50"/>
      <c r="AA1" s="50"/>
      <c r="AB1" s="50"/>
      <c r="AC1" s="50"/>
      <c r="AD1" s="50"/>
      <c r="AE1" s="50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</row>
    <row r="2" spans="1:72" ht="15" customHeight="1" x14ac:dyDescent="0.2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</row>
    <row r="3" spans="1:72" x14ac:dyDescent="0.25">
      <c r="F3" s="35"/>
      <c r="J3" s="35"/>
      <c r="N3" s="35"/>
      <c r="R3" s="35"/>
      <c r="V3" s="35"/>
      <c r="Z3" s="35"/>
      <c r="AD3" s="35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</row>
    <row r="4" spans="1:72" ht="15" customHeight="1" x14ac:dyDescent="0.25">
      <c r="A4" s="1" t="s">
        <v>2</v>
      </c>
      <c r="C4" s="1">
        <v>79200</v>
      </c>
      <c r="R4" s="35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</row>
    <row r="5" spans="1:72" ht="15" customHeight="1" x14ac:dyDescent="0.25">
      <c r="A5" s="1" t="s">
        <v>3</v>
      </c>
      <c r="C5" s="1">
        <v>72</v>
      </c>
      <c r="E5" s="47" t="s">
        <v>4</v>
      </c>
      <c r="F5" s="47"/>
      <c r="G5" s="47"/>
      <c r="I5" s="47" t="s">
        <v>5</v>
      </c>
      <c r="J5" s="47"/>
      <c r="K5" s="47"/>
      <c r="M5" s="47" t="s">
        <v>6</v>
      </c>
      <c r="N5" s="47"/>
      <c r="O5" s="47"/>
      <c r="Q5" s="47" t="s">
        <v>11</v>
      </c>
      <c r="R5" s="47"/>
      <c r="S5" s="47"/>
      <c r="U5" s="47" t="s">
        <v>12</v>
      </c>
      <c r="V5" s="47"/>
      <c r="W5" s="47"/>
      <c r="Y5" s="47" t="s">
        <v>13</v>
      </c>
      <c r="Z5" s="47"/>
      <c r="AA5" s="47"/>
      <c r="AC5" s="47" t="s">
        <v>16</v>
      </c>
      <c r="AD5" s="47"/>
      <c r="AE5" s="47"/>
      <c r="AS5" s="47"/>
      <c r="AT5" s="47"/>
      <c r="AU5" s="47"/>
      <c r="AW5" s="47"/>
      <c r="AX5" s="47"/>
      <c r="AY5" s="47"/>
      <c r="BA5" s="47"/>
      <c r="BB5" s="47"/>
      <c r="BC5" s="47"/>
    </row>
    <row r="6" spans="1:72" ht="15" customHeight="1" x14ac:dyDescent="0.25">
      <c r="A6" s="1" t="s">
        <v>17</v>
      </c>
      <c r="C6" s="1">
        <v>96</v>
      </c>
      <c r="E6" s="3" t="s">
        <v>18</v>
      </c>
      <c r="I6" s="3" t="s">
        <v>18</v>
      </c>
      <c r="M6" s="3" t="s">
        <v>19</v>
      </c>
      <c r="Q6" s="3" t="s">
        <v>18</v>
      </c>
      <c r="U6" s="3" t="s">
        <v>18</v>
      </c>
      <c r="Y6" s="3" t="s">
        <v>18</v>
      </c>
      <c r="AC6" s="3" t="s">
        <v>18</v>
      </c>
      <c r="AS6" s="3"/>
      <c r="AW6" s="3"/>
      <c r="BA6" s="3"/>
    </row>
    <row r="7" spans="1:72" ht="15" customHeight="1" x14ac:dyDescent="0.25">
      <c r="A7" s="1" t="s">
        <v>20</v>
      </c>
      <c r="C7" s="1">
        <v>1045</v>
      </c>
      <c r="E7" s="1" t="s">
        <v>21</v>
      </c>
      <c r="G7" s="1">
        <v>70</v>
      </c>
      <c r="I7" s="1" t="s">
        <v>21</v>
      </c>
      <c r="K7" s="1">
        <v>60</v>
      </c>
      <c r="M7" s="1" t="s">
        <v>22</v>
      </c>
      <c r="O7" s="1">
        <v>40</v>
      </c>
      <c r="Q7" s="1" t="s">
        <v>21</v>
      </c>
      <c r="S7" s="1">
        <v>420</v>
      </c>
      <c r="U7" s="1" t="s">
        <v>21</v>
      </c>
      <c r="W7" s="1">
        <v>70</v>
      </c>
      <c r="Y7" s="1" t="s">
        <v>23</v>
      </c>
      <c r="AA7" s="1">
        <v>60</v>
      </c>
      <c r="AC7" s="1" t="s">
        <v>21</v>
      </c>
      <c r="AE7" s="1">
        <v>582</v>
      </c>
    </row>
    <row r="8" spans="1:72" ht="15" customHeight="1" x14ac:dyDescent="0.25">
      <c r="A8" s="1" t="s">
        <v>24</v>
      </c>
      <c r="C8" s="1">
        <f>ROUND(C7/C6,3)</f>
        <v>10.885</v>
      </c>
      <c r="E8" s="1" t="s">
        <v>25</v>
      </c>
      <c r="G8" s="1">
        <f>ROUND(G7*C21,3)</f>
        <v>1705.69</v>
      </c>
      <c r="I8" s="1" t="s">
        <v>25</v>
      </c>
      <c r="K8" s="1">
        <f>ROUND(K7*C21,3)</f>
        <v>1462.02</v>
      </c>
      <c r="M8" s="1" t="s">
        <v>26</v>
      </c>
      <c r="O8" s="3">
        <f>ROUND(O7/C16,3)</f>
        <v>30.768999999999998</v>
      </c>
      <c r="Q8" s="1" t="s">
        <v>27</v>
      </c>
      <c r="S8" s="3">
        <f>ROUND(S7/C15,3)</f>
        <v>251.49700000000001</v>
      </c>
      <c r="U8" s="1" t="s">
        <v>25</v>
      </c>
      <c r="W8" s="1">
        <f>ROUND(W7*C26,3)</f>
        <v>545.44000000000005</v>
      </c>
      <c r="Y8" s="1" t="s">
        <v>28</v>
      </c>
      <c r="AA8" s="1">
        <f>ROUND(AA7*AA14,3)</f>
        <v>481.26</v>
      </c>
      <c r="AC8" s="1" t="s">
        <v>27</v>
      </c>
      <c r="AE8" s="3">
        <f>ROUND(AE7/C15,3)</f>
        <v>348.50299999999999</v>
      </c>
      <c r="AY8" s="3"/>
      <c r="BC8" s="3"/>
    </row>
    <row r="9" spans="1:72" x14ac:dyDescent="0.25">
      <c r="A9" s="1" t="s">
        <v>29</v>
      </c>
      <c r="C9" s="1">
        <f>ROUND(C7/48,3)</f>
        <v>21.771000000000001</v>
      </c>
      <c r="E9" s="1" t="s">
        <v>27</v>
      </c>
      <c r="G9" s="3">
        <f>ROUND(G8/C14,3)</f>
        <v>921.995</v>
      </c>
      <c r="I9" s="1" t="s">
        <v>27</v>
      </c>
      <c r="K9" s="3">
        <f>ROUND(K8/C14,3)</f>
        <v>790.28099999999995</v>
      </c>
      <c r="M9" s="1" t="s">
        <v>30</v>
      </c>
      <c r="O9" s="1">
        <v>16</v>
      </c>
      <c r="S9" s="3"/>
      <c r="U9" s="1" t="s">
        <v>27</v>
      </c>
      <c r="W9" s="3">
        <f>ROUND(W8/C14,3)</f>
        <v>294.83199999999999</v>
      </c>
      <c r="Y9" s="1" t="s">
        <v>31</v>
      </c>
      <c r="AA9" s="1">
        <v>80</v>
      </c>
    </row>
    <row r="10" spans="1:72" x14ac:dyDescent="0.25">
      <c r="A10" s="1" t="s">
        <v>32</v>
      </c>
      <c r="C10" s="1">
        <f>ROUND(C7/24,3)</f>
        <v>43.542000000000002</v>
      </c>
      <c r="M10" s="1" t="s">
        <v>33</v>
      </c>
      <c r="O10" s="1">
        <f>ROUND(O9/C16,3)</f>
        <v>12.308</v>
      </c>
      <c r="Q10" s="3" t="s">
        <v>34</v>
      </c>
      <c r="Y10" s="1" t="s">
        <v>35</v>
      </c>
      <c r="AA10" s="1">
        <f>ROUND((AA9*AA14)/2,3)</f>
        <v>320.83999999999997</v>
      </c>
      <c r="AC10" s="3" t="s">
        <v>19</v>
      </c>
      <c r="AW10" s="3"/>
      <c r="BA10" s="3"/>
    </row>
    <row r="11" spans="1:72" x14ac:dyDescent="0.25">
      <c r="A11" s="1" t="s">
        <v>36</v>
      </c>
      <c r="C11" s="1">
        <f>ROUND(C7/18,3)</f>
        <v>58.055999999999997</v>
      </c>
      <c r="E11" s="3" t="s">
        <v>34</v>
      </c>
      <c r="I11" s="3" t="s">
        <v>34</v>
      </c>
      <c r="M11" s="1" t="s">
        <v>37</v>
      </c>
      <c r="O11" s="1">
        <f>ROUND(O10*O19,3)</f>
        <v>28.800999999999998</v>
      </c>
      <c r="Q11" s="1" t="s">
        <v>38</v>
      </c>
      <c r="S11" s="16">
        <f>2513</f>
        <v>2513</v>
      </c>
      <c r="U11" s="3" t="s">
        <v>34</v>
      </c>
      <c r="Y11" s="1" t="s">
        <v>27</v>
      </c>
      <c r="AA11" s="3">
        <f>ROUND((AA8+AA10)/C14,3)</f>
        <v>433.56799999999998</v>
      </c>
      <c r="AC11" s="26" t="s">
        <v>39</v>
      </c>
      <c r="AE11" s="1">
        <v>96</v>
      </c>
      <c r="AU11" s="3"/>
    </row>
    <row r="12" spans="1:72" x14ac:dyDescent="0.25">
      <c r="A12" s="1" t="s">
        <v>40</v>
      </c>
      <c r="C12" s="1">
        <f>ROUND(C7/12,3)</f>
        <v>87.082999999999998</v>
      </c>
      <c r="E12" s="1" t="s">
        <v>41</v>
      </c>
      <c r="G12" s="1">
        <v>12</v>
      </c>
      <c r="I12" t="s">
        <v>42</v>
      </c>
      <c r="J12"/>
      <c r="K12" s="1">
        <v>7</v>
      </c>
      <c r="M12" s="1" t="s">
        <v>43</v>
      </c>
      <c r="O12" s="3">
        <f>ROUND(O11*O15,3)</f>
        <v>180.46700000000001</v>
      </c>
      <c r="Q12" s="1" t="s">
        <v>44</v>
      </c>
      <c r="S12" s="1">
        <f>ROUND(S11/96,3)</f>
        <v>26.177</v>
      </c>
      <c r="U12" t="s">
        <v>45</v>
      </c>
      <c r="V12"/>
      <c r="W12">
        <v>10</v>
      </c>
      <c r="X12"/>
      <c r="AC12" s="1" t="s">
        <v>46</v>
      </c>
      <c r="AE12" s="3">
        <f>ROUND(AE11/C16,3)</f>
        <v>73.846000000000004</v>
      </c>
      <c r="AY12" s="3"/>
      <c r="BC12" s="3"/>
    </row>
    <row r="13" spans="1:72" x14ac:dyDescent="0.25">
      <c r="E13" s="1" t="s">
        <v>47</v>
      </c>
      <c r="G13" s="3">
        <f>ROUND(G12*C21,3)</f>
        <v>292.404</v>
      </c>
      <c r="I13" s="45" t="s">
        <v>47</v>
      </c>
      <c r="J13" s="45"/>
      <c r="K13" s="3">
        <f>ROUND(K12*C21,3)</f>
        <v>170.56899999999999</v>
      </c>
      <c r="Q13" s="1" t="s">
        <v>48</v>
      </c>
      <c r="R13"/>
      <c r="S13" s="2">
        <v>9</v>
      </c>
      <c r="U13" s="5" t="s">
        <v>47</v>
      </c>
      <c r="V13" s="5"/>
      <c r="W13" s="13">
        <f>ROUND(W12*C26,3)</f>
        <v>77.92</v>
      </c>
      <c r="X13"/>
      <c r="Y13" s="3" t="s">
        <v>34</v>
      </c>
      <c r="AC13" s="1" t="s">
        <v>49</v>
      </c>
      <c r="AE13" s="1">
        <v>27</v>
      </c>
      <c r="AS13" s="3"/>
    </row>
    <row r="14" spans="1:72" x14ac:dyDescent="0.25">
      <c r="A14" s="1" t="s">
        <v>50</v>
      </c>
      <c r="C14" s="1">
        <v>1.85</v>
      </c>
      <c r="E14" s="1" t="s">
        <v>51</v>
      </c>
      <c r="G14" s="1">
        <v>20</v>
      </c>
      <c r="I14" t="s">
        <v>52</v>
      </c>
      <c r="J14"/>
      <c r="K14" s="1">
        <v>12</v>
      </c>
      <c r="M14" s="3" t="s">
        <v>34</v>
      </c>
      <c r="Q14" s="5" t="s">
        <v>53</v>
      </c>
      <c r="R14" s="5"/>
      <c r="S14" s="3">
        <f>ROUND(S13*S12,3)</f>
        <v>235.59299999999999</v>
      </c>
      <c r="U14" t="s">
        <v>51</v>
      </c>
      <c r="V14"/>
      <c r="W14">
        <v>15</v>
      </c>
      <c r="X14"/>
      <c r="Y14" t="s">
        <v>54</v>
      </c>
      <c r="Z14"/>
      <c r="AA14" s="17">
        <v>8.0210000000000008</v>
      </c>
      <c r="AC14" s="1" t="s">
        <v>55</v>
      </c>
      <c r="AE14" s="3">
        <f>ROUND(AE13/C16,3)</f>
        <v>20.768999999999998</v>
      </c>
      <c r="AS14"/>
      <c r="AT14"/>
      <c r="AU14"/>
      <c r="AY14" s="3"/>
      <c r="BC14" s="3"/>
    </row>
    <row r="15" spans="1:72" x14ac:dyDescent="0.25">
      <c r="A15" s="1" t="s">
        <v>56</v>
      </c>
      <c r="C15" s="1">
        <v>1.67</v>
      </c>
      <c r="E15" s="1" t="s">
        <v>57</v>
      </c>
      <c r="G15" s="3">
        <f>ROUND(G14*C19,3)</f>
        <v>877.2</v>
      </c>
      <c r="I15" t="s">
        <v>57</v>
      </c>
      <c r="J15"/>
      <c r="K15" s="3">
        <f>ROUND(K14*C19,3)</f>
        <v>526.32000000000005</v>
      </c>
      <c r="M15" s="1" t="s">
        <v>59</v>
      </c>
      <c r="O15" s="1">
        <f>ROUND(C19/7,3)</f>
        <v>6.266</v>
      </c>
      <c r="Q15" s="1" t="s">
        <v>60</v>
      </c>
      <c r="R15"/>
      <c r="S15" s="1">
        <v>6</v>
      </c>
      <c r="U15" t="s">
        <v>57</v>
      </c>
      <c r="V15"/>
      <c r="W15" s="13">
        <f>ROUND(W14*C24,3)</f>
        <v>175.32</v>
      </c>
      <c r="X15"/>
      <c r="Y15" s="1" t="s">
        <v>61</v>
      </c>
      <c r="Z15" s="5"/>
      <c r="AA15">
        <v>10</v>
      </c>
      <c r="AT15" s="5"/>
      <c r="AU15"/>
    </row>
    <row r="16" spans="1:72" x14ac:dyDescent="0.25">
      <c r="A16" s="1" t="s">
        <v>62</v>
      </c>
      <c r="C16" s="1">
        <v>1.3</v>
      </c>
      <c r="M16" t="s">
        <v>63</v>
      </c>
      <c r="O16" s="1">
        <v>55</v>
      </c>
      <c r="Q16" s="1" t="s">
        <v>64</v>
      </c>
      <c r="R16"/>
      <c r="S16" s="7">
        <f>ROUND(S15*S19,3)</f>
        <v>36</v>
      </c>
      <c r="U16" t="s">
        <v>65</v>
      </c>
      <c r="V16"/>
      <c r="W16">
        <v>2</v>
      </c>
      <c r="X16"/>
      <c r="Y16" s="5" t="s">
        <v>47</v>
      </c>
      <c r="Z16"/>
      <c r="AA16" s="13">
        <f>ROUND(AA14*AA15,3)</f>
        <v>80.209999999999994</v>
      </c>
      <c r="AC16" s="3" t="s">
        <v>34</v>
      </c>
      <c r="AE16" s="3"/>
      <c r="AS16" s="5"/>
      <c r="AT16"/>
      <c r="AU16" s="13"/>
      <c r="AW16" s="3"/>
      <c r="AY16" s="3"/>
      <c r="BA16" s="3"/>
      <c r="BC16" s="3"/>
    </row>
    <row r="17" spans="1:55" ht="15.75" x14ac:dyDescent="0.25">
      <c r="E17" s="4" t="s">
        <v>66</v>
      </c>
      <c r="G17" s="3">
        <f>ROUND(((G9+G13+G15)/(C5*C8))/3,3)</f>
        <v>0.89</v>
      </c>
      <c r="I17" s="4" t="s">
        <v>66</v>
      </c>
      <c r="K17" s="3">
        <f>ROUND(((K9+K13+K15)/(C5*C8))/2,3)</f>
        <v>0.94899999999999995</v>
      </c>
      <c r="M17" s="1" t="s">
        <v>67</v>
      </c>
      <c r="N17"/>
      <c r="O17" s="3">
        <f>ROUND(O16*O15,3)</f>
        <v>344.63</v>
      </c>
      <c r="U17" s="1" t="s">
        <v>68</v>
      </c>
      <c r="W17" s="3">
        <f>ROUND(W16*2*C24,3)</f>
        <v>46.752000000000002</v>
      </c>
      <c r="Y17" t="s">
        <v>69</v>
      </c>
      <c r="Z17"/>
      <c r="AA17">
        <v>10</v>
      </c>
      <c r="AC17" s="1" t="s">
        <v>71</v>
      </c>
      <c r="AE17" s="16">
        <v>481</v>
      </c>
      <c r="AS17"/>
      <c r="AT17"/>
      <c r="AU17"/>
    </row>
    <row r="18" spans="1:55" x14ac:dyDescent="0.25">
      <c r="A18" s="11" t="s">
        <v>72</v>
      </c>
      <c r="B18" s="12"/>
      <c r="C18" s="12"/>
      <c r="M18" s="5" t="s">
        <v>73</v>
      </c>
      <c r="N18" s="5"/>
      <c r="O18" s="3">
        <v>90</v>
      </c>
      <c r="Q18" s="3" t="s">
        <v>19</v>
      </c>
      <c r="Y18" t="s">
        <v>74</v>
      </c>
      <c r="Z18"/>
      <c r="AA18" s="13">
        <f>ROUND(AA17*AA14,3)</f>
        <v>80.209999999999994</v>
      </c>
      <c r="AC18" s="1" t="s">
        <v>76</v>
      </c>
      <c r="AE18" s="1">
        <f>ROUND(AE17/C12,3)</f>
        <v>5.5229999999999997</v>
      </c>
      <c r="AS18"/>
      <c r="AT18"/>
      <c r="AU18" s="13"/>
    </row>
    <row r="19" spans="1:55" ht="15.75" x14ac:dyDescent="0.25">
      <c r="A19" s="12" t="s">
        <v>77</v>
      </c>
      <c r="B19" s="12"/>
      <c r="C19" s="16">
        <v>43.86</v>
      </c>
      <c r="M19" s="1" t="s">
        <v>78</v>
      </c>
      <c r="O19" s="1">
        <v>2.34</v>
      </c>
      <c r="Q19" s="26" t="s">
        <v>79</v>
      </c>
      <c r="S19" s="16">
        <v>6</v>
      </c>
      <c r="U19" s="4" t="s">
        <v>66</v>
      </c>
      <c r="W19" s="3">
        <f>ROUND(((W9+W13+W15+W17)/(C5*C8)),3)</f>
        <v>0.75900000000000001</v>
      </c>
      <c r="Y19" t="s">
        <v>80</v>
      </c>
      <c r="Z19"/>
      <c r="AA19">
        <v>10</v>
      </c>
      <c r="AC19" s="1" t="s">
        <v>82</v>
      </c>
      <c r="AE19" s="1">
        <v>10</v>
      </c>
      <c r="AS19"/>
      <c r="AT19"/>
      <c r="AU19"/>
      <c r="AY19" s="3"/>
      <c r="BC19" s="3"/>
    </row>
    <row r="20" spans="1:55" ht="15" customHeight="1" x14ac:dyDescent="0.25">
      <c r="A20" s="12" t="s">
        <v>83</v>
      </c>
      <c r="B20" s="12"/>
      <c r="C20" s="12">
        <v>1.8</v>
      </c>
      <c r="D20"/>
      <c r="E20"/>
      <c r="F20"/>
      <c r="G20"/>
      <c r="M20" t="s">
        <v>84</v>
      </c>
      <c r="N20"/>
      <c r="O20">
        <v>4</v>
      </c>
      <c r="Q20" s="26" t="s">
        <v>85</v>
      </c>
      <c r="S20" s="3">
        <v>0</v>
      </c>
      <c r="Y20" t="s">
        <v>86</v>
      </c>
      <c r="Z20"/>
      <c r="AA20" s="13">
        <f>ROUND(AA19*AA14,3)</f>
        <v>80.209999999999994</v>
      </c>
      <c r="AC20" s="1" t="s">
        <v>87</v>
      </c>
      <c r="AE20" s="3">
        <f>ROUND(AE18*AE19,3)</f>
        <v>55.23</v>
      </c>
      <c r="AS20"/>
      <c r="AT20"/>
      <c r="AU20" s="13"/>
    </row>
    <row r="21" spans="1:55" ht="15" customHeight="1" x14ac:dyDescent="0.25">
      <c r="A21" s="12" t="s">
        <v>88</v>
      </c>
      <c r="B21" s="12"/>
      <c r="C21" s="12">
        <f>ROUND(C19/C20,3)</f>
        <v>24.367000000000001</v>
      </c>
      <c r="D21"/>
      <c r="E21"/>
      <c r="F21"/>
      <c r="G21"/>
      <c r="M21" t="s">
        <v>89</v>
      </c>
      <c r="N21"/>
      <c r="O21" s="6">
        <f>O20*O19</f>
        <v>9.36</v>
      </c>
      <c r="Q21" s="26" t="s">
        <v>90</v>
      </c>
      <c r="S21" s="1">
        <v>4</v>
      </c>
      <c r="Y21" t="s">
        <v>65</v>
      </c>
      <c r="AA21" s="2">
        <v>2</v>
      </c>
      <c r="AC21" s="1" t="s">
        <v>91</v>
      </c>
      <c r="AE21" s="1">
        <v>40</v>
      </c>
      <c r="AS21"/>
      <c r="AU21" s="2"/>
    </row>
    <row r="22" spans="1:55" x14ac:dyDescent="0.25">
      <c r="D22"/>
      <c r="E22"/>
      <c r="F22"/>
      <c r="G22"/>
      <c r="M22" t="s">
        <v>92</v>
      </c>
      <c r="N22"/>
      <c r="O22" s="27">
        <f>O21*O15</f>
        <v>58.649759999999993</v>
      </c>
      <c r="Q22" s="26" t="s">
        <v>93</v>
      </c>
      <c r="S22" s="1">
        <f>S20*S21</f>
        <v>0</v>
      </c>
      <c r="Y22" s="1" t="s">
        <v>68</v>
      </c>
      <c r="AA22" s="3">
        <f>ROUND(AA14*AA21*2,3)</f>
        <v>32.084000000000003</v>
      </c>
      <c r="AC22" s="1" t="s">
        <v>94</v>
      </c>
      <c r="AE22" s="3">
        <f>ROUND(AE18*AE21,3)</f>
        <v>220.92</v>
      </c>
      <c r="AU22" s="3"/>
    </row>
    <row r="23" spans="1:55" x14ac:dyDescent="0.25">
      <c r="A23" s="8" t="s">
        <v>95</v>
      </c>
      <c r="B23" s="9"/>
      <c r="C23" s="9"/>
      <c r="D23"/>
      <c r="E23"/>
      <c r="F23"/>
      <c r="G23"/>
      <c r="M23" t="s">
        <v>96</v>
      </c>
      <c r="O23" s="1">
        <v>17</v>
      </c>
      <c r="Q23" s="26" t="s">
        <v>97</v>
      </c>
      <c r="S23" s="1">
        <f>ROUND(S20*2.2*S22,3)</f>
        <v>0</v>
      </c>
      <c r="AC23" t="s">
        <v>65</v>
      </c>
      <c r="AE23" s="2">
        <v>2</v>
      </c>
      <c r="AY23" s="3"/>
      <c r="BC23" s="3"/>
    </row>
    <row r="24" spans="1:55" ht="15.75" x14ac:dyDescent="0.25">
      <c r="A24" s="9" t="s">
        <v>77</v>
      </c>
      <c r="B24" s="9"/>
      <c r="C24" s="16">
        <v>11.688000000000001</v>
      </c>
      <c r="D24"/>
      <c r="E24"/>
      <c r="F24"/>
      <c r="G24"/>
      <c r="M24" t="s">
        <v>98</v>
      </c>
      <c r="O24" s="1">
        <f>ROUND(O23*O19,3)</f>
        <v>39.78</v>
      </c>
      <c r="Q24" s="26" t="s">
        <v>99</v>
      </c>
      <c r="S24" s="3">
        <f>ROUND(S23/1.3,3)</f>
        <v>0</v>
      </c>
      <c r="Y24" s="4" t="s">
        <v>66</v>
      </c>
      <c r="AA24" s="3">
        <f>ROUND(((AA11+AA16+AA18+AA22+AA20)/(C5*C8)),3)</f>
        <v>0.90100000000000002</v>
      </c>
      <c r="AC24" s="1" t="s">
        <v>68</v>
      </c>
      <c r="AE24" s="3">
        <f>ROUND(AE18*AE23*2,3)</f>
        <v>22.091999999999999</v>
      </c>
      <c r="AS24" s="4"/>
      <c r="AU24" s="3"/>
    </row>
    <row r="25" spans="1:55" x14ac:dyDescent="0.25">
      <c r="A25" s="9" t="s">
        <v>100</v>
      </c>
      <c r="B25" s="9"/>
      <c r="C25" s="9">
        <v>1.5</v>
      </c>
      <c r="D25"/>
      <c r="E25"/>
      <c r="F25"/>
      <c r="G25"/>
      <c r="M25" t="s">
        <v>101</v>
      </c>
      <c r="O25" s="3">
        <f>ROUND(O24*O15,3)</f>
        <v>249.261</v>
      </c>
      <c r="Q25" s="26" t="s">
        <v>102</v>
      </c>
      <c r="S25" s="1">
        <v>1.3</v>
      </c>
      <c r="AY25" s="3"/>
      <c r="BC25" s="3"/>
    </row>
    <row r="26" spans="1:55" ht="15.75" x14ac:dyDescent="0.25">
      <c r="A26" s="9" t="s">
        <v>88</v>
      </c>
      <c r="B26" s="10"/>
      <c r="C26" s="10">
        <f>ROUND(C24/C25,3)</f>
        <v>7.7919999999999998</v>
      </c>
      <c r="D26"/>
      <c r="E26"/>
      <c r="F26"/>
      <c r="G26"/>
      <c r="Q26" s="26" t="s">
        <v>103</v>
      </c>
      <c r="S26" s="1">
        <f>ROUND(S25*S19,3)</f>
        <v>7.8</v>
      </c>
      <c r="AC26" s="4" t="s">
        <v>66</v>
      </c>
      <c r="AE26" s="3">
        <f>ROUND(((AE8+AE12+AE14+AE22+AE20+AE24)/(C5*12)),3)</f>
        <v>0.85799999999999998</v>
      </c>
      <c r="AY26" s="3"/>
      <c r="BC26" s="3"/>
    </row>
    <row r="27" spans="1:55" ht="15.75" x14ac:dyDescent="0.25">
      <c r="A27"/>
      <c r="B27"/>
      <c r="C27"/>
      <c r="D27"/>
      <c r="E27"/>
      <c r="F27"/>
      <c r="G27"/>
      <c r="M27" s="4" t="s">
        <v>66</v>
      </c>
      <c r="O27" s="3">
        <f>ROUND(((O8+O12+O17+O18+O22+O25)/(C5*C8))/2,3)</f>
        <v>0.60799999999999998</v>
      </c>
      <c r="Q27" s="26" t="s">
        <v>105</v>
      </c>
      <c r="S27" s="1">
        <f>ROUND(((S20*2.2*2)+(S19*1.8))*S26,3)</f>
        <v>84.24</v>
      </c>
      <c r="AW27"/>
      <c r="AY27" s="2"/>
      <c r="BA27"/>
      <c r="BC27" s="2"/>
    </row>
    <row r="28" spans="1:55" x14ac:dyDescent="0.25">
      <c r="A28"/>
      <c r="B28"/>
      <c r="C28"/>
      <c r="D28"/>
      <c r="E28"/>
      <c r="F28"/>
      <c r="G28"/>
      <c r="O28" s="36"/>
      <c r="Q28" s="26" t="s">
        <v>106</v>
      </c>
      <c r="S28" s="3">
        <f>ROUND(S27/1.3,3)</f>
        <v>64.8</v>
      </c>
      <c r="AY28" s="3"/>
      <c r="BC28" s="3"/>
    </row>
    <row r="29" spans="1:55" x14ac:dyDescent="0.25">
      <c r="A29"/>
      <c r="B29"/>
      <c r="C29">
        <f>G17+K17+O27+S30+AA24+AE26+W19</f>
        <v>5.7149999999999999</v>
      </c>
      <c r="D29" s="39"/>
      <c r="E29"/>
      <c r="F29"/>
      <c r="G29"/>
    </row>
    <row r="30" spans="1:55" ht="15.75" x14ac:dyDescent="0.25">
      <c r="A30"/>
      <c r="B30"/>
      <c r="C30"/>
      <c r="D30"/>
      <c r="E30"/>
      <c r="F30"/>
      <c r="G30"/>
      <c r="Q30" s="4" t="s">
        <v>66</v>
      </c>
      <c r="S30" s="3">
        <f>ROUND(((S8+S14+S16+S24+S28)/($C$5*C8)),3)</f>
        <v>0.75</v>
      </c>
      <c r="U30" s="1" t="s">
        <v>108</v>
      </c>
      <c r="AW30" s="4"/>
      <c r="AY30" s="3"/>
      <c r="BA30" s="4"/>
      <c r="BC30" s="3"/>
    </row>
    <row r="31" spans="1:55" ht="15" customHeight="1" x14ac:dyDescent="0.25">
      <c r="A31"/>
      <c r="B31"/>
      <c r="C31"/>
      <c r="D31"/>
      <c r="E31"/>
      <c r="F31"/>
      <c r="G31"/>
      <c r="S31" s="38"/>
    </row>
    <row r="32" spans="1:55" ht="15" customHeight="1" x14ac:dyDescent="0.25">
      <c r="A32"/>
      <c r="B32"/>
      <c r="C32"/>
      <c r="D32"/>
      <c r="E32"/>
      <c r="F32"/>
      <c r="G32"/>
    </row>
    <row r="33" spans="1:7" x14ac:dyDescent="0.25">
      <c r="A33"/>
      <c r="B33"/>
      <c r="C33"/>
      <c r="D33"/>
      <c r="E33"/>
      <c r="F33"/>
      <c r="G33"/>
    </row>
    <row r="34" spans="1:7" x14ac:dyDescent="0.25">
      <c r="A34"/>
      <c r="B34"/>
      <c r="C34"/>
      <c r="D34"/>
      <c r="E34"/>
      <c r="F34"/>
      <c r="G34"/>
    </row>
    <row r="35" spans="1:7" x14ac:dyDescent="0.25">
      <c r="A35"/>
      <c r="B35"/>
      <c r="C35" s="46"/>
      <c r="D35" s="46"/>
      <c r="E35" s="46"/>
      <c r="F35" s="46"/>
      <c r="G35" s="46"/>
    </row>
  </sheetData>
  <mergeCells count="14">
    <mergeCell ref="AS5:AU5"/>
    <mergeCell ref="AW5:AY5"/>
    <mergeCell ref="BA5:BC5"/>
    <mergeCell ref="AC5:AE5"/>
    <mergeCell ref="I13:J13"/>
    <mergeCell ref="C35:G35"/>
    <mergeCell ref="A1:S2"/>
    <mergeCell ref="Q5:S5"/>
    <mergeCell ref="U1:AE2"/>
    <mergeCell ref="U5:W5"/>
    <mergeCell ref="E5:G5"/>
    <mergeCell ref="I5:K5"/>
    <mergeCell ref="M5:O5"/>
    <mergeCell ref="Y5:AA5"/>
  </mergeCells>
  <pageMargins left="0.7" right="0.7" top="0.78740157499999996" bottom="0.78740157499999996" header="0.3" footer="0.3"/>
  <pageSetup paperSize="9" orientation="portrait" r:id="rId1"/>
  <headerFooter>
    <oddHeader>&amp;C&amp;"MS UI Gothic"&amp;10&amp;K000000•• PROTECTED 関係者外秘&amp;1#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F33D-9EEB-4AC0-BF35-3DEE94BD0228}">
  <sheetPr codeName="List20">
    <tabColor rgb="FFFFC000"/>
  </sheetPr>
  <dimension ref="A14:F38"/>
  <sheetViews>
    <sheetView zoomScale="85" zoomScaleNormal="85" workbookViewId="0">
      <selection activeCell="W27" sqref="W27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43.86</v>
      </c>
      <c r="E14" t="s">
        <v>428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24.367000000000001</v>
      </c>
      <c r="E16" t="s">
        <v>211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1705.69</v>
      </c>
      <c r="E21" t="s">
        <v>283</v>
      </c>
    </row>
    <row r="22" spans="1:5" x14ac:dyDescent="0.25">
      <c r="A22" s="32" t="s">
        <v>119</v>
      </c>
      <c r="B22" s="12"/>
      <c r="C22" s="11"/>
      <c r="D22" s="19">
        <f>ROUND(D21/D17,3)</f>
        <v>921.995</v>
      </c>
      <c r="E22" t="s">
        <v>212</v>
      </c>
    </row>
    <row r="24" spans="1:5" x14ac:dyDescent="0.25">
      <c r="A24" s="21" t="s">
        <v>121</v>
      </c>
      <c r="B24" s="10"/>
      <c r="C24" s="10"/>
      <c r="D24" s="10"/>
      <c r="E24" t="s">
        <v>388</v>
      </c>
    </row>
    <row r="25" spans="1:5" x14ac:dyDescent="0.25">
      <c r="A25" s="33" t="s">
        <v>122</v>
      </c>
      <c r="B25" s="10"/>
      <c r="C25" s="10"/>
      <c r="D25" s="10">
        <v>12</v>
      </c>
    </row>
    <row r="26" spans="1:5" x14ac:dyDescent="0.25">
      <c r="A26" s="33" t="s">
        <v>123</v>
      </c>
      <c r="B26" s="10"/>
      <c r="C26" s="10"/>
      <c r="D26" s="21">
        <f>D25*D16</f>
        <v>292.404</v>
      </c>
      <c r="E26" t="s">
        <v>284</v>
      </c>
    </row>
    <row r="28" spans="1:5" x14ac:dyDescent="0.25">
      <c r="A28" s="21" t="s">
        <v>124</v>
      </c>
      <c r="B28" s="10"/>
      <c r="C28" s="10"/>
      <c r="D28" s="10"/>
      <c r="E28" t="s">
        <v>389</v>
      </c>
    </row>
    <row r="29" spans="1:5" x14ac:dyDescent="0.25">
      <c r="A29" s="33" t="s">
        <v>125</v>
      </c>
      <c r="B29" s="10"/>
      <c r="C29" s="10"/>
      <c r="D29" s="10">
        <v>20</v>
      </c>
    </row>
    <row r="30" spans="1:5" x14ac:dyDescent="0.25">
      <c r="A30" s="33" t="s">
        <v>126</v>
      </c>
      <c r="B30" s="10"/>
      <c r="C30" s="10"/>
      <c r="D30" s="21">
        <f>D29*D14</f>
        <v>877.2</v>
      </c>
      <c r="E30" t="s">
        <v>285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28">
        <f>ROUND(((D22+D26+D30)/(72*10.885))/3,3)</f>
        <v>0.89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91F47-ED94-48BA-88BB-5A5F79C900B1}">
  <sheetPr codeName="List21">
    <tabColor rgb="FFFFC000"/>
  </sheetPr>
  <dimension ref="A14:F38"/>
  <sheetViews>
    <sheetView showRuler="0" zoomScale="85" zoomScaleNormal="85" workbookViewId="0">
      <selection activeCell="Q36" sqref="Q35:Q36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43.86</v>
      </c>
      <c r="E14" t="s">
        <v>428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24.367000000000001</v>
      </c>
      <c r="E16" t="s">
        <v>211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30</v>
      </c>
      <c r="E20" t="s">
        <v>390</v>
      </c>
    </row>
    <row r="21" spans="1:5" x14ac:dyDescent="0.25">
      <c r="A21" s="32" t="s">
        <v>118</v>
      </c>
      <c r="B21" s="12"/>
      <c r="C21" s="18"/>
      <c r="D21" s="12">
        <f>60*D16</f>
        <v>1462.02</v>
      </c>
      <c r="E21" t="s">
        <v>286</v>
      </c>
    </row>
    <row r="22" spans="1:5" x14ac:dyDescent="0.25">
      <c r="A22" s="32" t="s">
        <v>119</v>
      </c>
      <c r="B22" s="12"/>
      <c r="C22" s="11"/>
      <c r="D22" s="19">
        <f>ROUND(D21/D17,3)</f>
        <v>790.28099999999995</v>
      </c>
      <c r="E22" t="s">
        <v>213</v>
      </c>
    </row>
    <row r="24" spans="1:5" x14ac:dyDescent="0.25">
      <c r="A24" s="21" t="s">
        <v>128</v>
      </c>
      <c r="B24" s="10"/>
      <c r="C24" s="10"/>
      <c r="D24" s="10"/>
      <c r="E24" t="s">
        <v>391</v>
      </c>
    </row>
    <row r="25" spans="1:5" x14ac:dyDescent="0.25">
      <c r="A25" s="33" t="s">
        <v>122</v>
      </c>
      <c r="B25" s="10"/>
      <c r="C25" s="10"/>
      <c r="D25" s="10">
        <v>7</v>
      </c>
    </row>
    <row r="26" spans="1:5" x14ac:dyDescent="0.25">
      <c r="A26" s="33" t="s">
        <v>123</v>
      </c>
      <c r="B26" s="10"/>
      <c r="C26" s="10"/>
      <c r="D26" s="21">
        <f>D25*D16</f>
        <v>170.56900000000002</v>
      </c>
      <c r="E26" t="s">
        <v>287</v>
      </c>
    </row>
    <row r="28" spans="1:5" x14ac:dyDescent="0.25">
      <c r="A28" s="21" t="s">
        <v>129</v>
      </c>
      <c r="B28" s="10"/>
      <c r="C28" s="10"/>
      <c r="D28" s="10"/>
      <c r="E28" t="s">
        <v>429</v>
      </c>
    </row>
    <row r="29" spans="1:5" x14ac:dyDescent="0.25">
      <c r="A29" s="33" t="s">
        <v>130</v>
      </c>
      <c r="B29" s="10"/>
      <c r="C29" s="10"/>
      <c r="D29" s="10">
        <v>12</v>
      </c>
    </row>
    <row r="30" spans="1:5" x14ac:dyDescent="0.25">
      <c r="A30" s="33" t="s">
        <v>131</v>
      </c>
      <c r="B30" s="10"/>
      <c r="C30" s="10"/>
      <c r="D30" s="21">
        <f>D29*D14</f>
        <v>526.31999999999994</v>
      </c>
      <c r="E30" t="s">
        <v>288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ROUND(((D22+D26+D30)/(72*10.885))/2,3)</f>
        <v>0.94899999999999995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8811B-3126-43D6-B440-F8FD157BDE96}">
  <sheetPr>
    <tabColor rgb="FFFFC000"/>
  </sheetPr>
  <dimension ref="A14:F48"/>
  <sheetViews>
    <sheetView showRuler="0" zoomScaleNormal="100" workbookViewId="0">
      <selection activeCell="W27" sqref="W27"/>
    </sheetView>
  </sheetViews>
  <sheetFormatPr defaultRowHeight="15" x14ac:dyDescent="0.25"/>
  <cols>
    <col min="3" max="3" width="9.28515625" customWidth="1"/>
    <col min="4" max="4" width="8" customWidth="1"/>
    <col min="5" max="5" width="9.28515625" customWidth="1"/>
  </cols>
  <sheetData>
    <row r="14" spans="1:6" x14ac:dyDescent="0.25">
      <c r="A14" t="s">
        <v>113</v>
      </c>
      <c r="D14">
        <v>43.86</v>
      </c>
      <c r="E14" t="s">
        <v>428</v>
      </c>
    </row>
    <row r="15" spans="1:6" x14ac:dyDescent="0.25">
      <c r="A15" t="s">
        <v>132</v>
      </c>
      <c r="D15">
        <f>ROUND(D14/7,3)</f>
        <v>6.266</v>
      </c>
      <c r="E15" t="s">
        <v>214</v>
      </c>
      <c r="F15" t="s">
        <v>431</v>
      </c>
    </row>
    <row r="16" spans="1:6" x14ac:dyDescent="0.25">
      <c r="A16" t="s">
        <v>134</v>
      </c>
      <c r="D16" s="1">
        <v>2.34</v>
      </c>
      <c r="E16" t="s">
        <v>433</v>
      </c>
    </row>
    <row r="17" spans="1:5" x14ac:dyDescent="0.25">
      <c r="A17" s="26" t="s">
        <v>135</v>
      </c>
      <c r="B17" s="1"/>
      <c r="D17" s="1">
        <v>1.3</v>
      </c>
    </row>
    <row r="19" spans="1:5" x14ac:dyDescent="0.25">
      <c r="A19" s="23" t="s">
        <v>136</v>
      </c>
      <c r="B19" s="14"/>
      <c r="C19" s="14"/>
      <c r="D19" s="15"/>
      <c r="E19" t="s">
        <v>393</v>
      </c>
    </row>
    <row r="20" spans="1:5" x14ac:dyDescent="0.25">
      <c r="A20" s="34" t="s">
        <v>117</v>
      </c>
      <c r="B20" s="14"/>
      <c r="C20" s="15"/>
      <c r="D20" s="14">
        <v>40</v>
      </c>
      <c r="E20" t="s">
        <v>394</v>
      </c>
    </row>
    <row r="21" spans="1:5" x14ac:dyDescent="0.25">
      <c r="A21" s="34" t="s">
        <v>137</v>
      </c>
      <c r="B21" s="14"/>
      <c r="C21" s="23"/>
      <c r="D21" s="24">
        <f>ROUND(D20/D17,3)</f>
        <v>30.768999999999998</v>
      </c>
      <c r="E21" t="s">
        <v>138</v>
      </c>
    </row>
    <row r="23" spans="1:5" x14ac:dyDescent="0.25">
      <c r="A23" s="23" t="s">
        <v>139</v>
      </c>
      <c r="B23" s="14"/>
      <c r="C23" s="14"/>
      <c r="D23" s="15"/>
      <c r="E23" t="s">
        <v>395</v>
      </c>
    </row>
    <row r="24" spans="1:5" x14ac:dyDescent="0.25">
      <c r="A24" s="34" t="s">
        <v>117</v>
      </c>
      <c r="B24" s="14"/>
      <c r="C24" s="15"/>
      <c r="D24" s="14">
        <v>16</v>
      </c>
      <c r="E24" t="s">
        <v>396</v>
      </c>
    </row>
    <row r="25" spans="1:5" x14ac:dyDescent="0.25">
      <c r="A25" s="34" t="s">
        <v>118</v>
      </c>
      <c r="B25" s="15"/>
      <c r="C25" s="15"/>
      <c r="D25" s="43">
        <f>D24*D16*D15</f>
        <v>234.59903999999997</v>
      </c>
      <c r="E25" t="s">
        <v>368</v>
      </c>
    </row>
    <row r="26" spans="1:5" x14ac:dyDescent="0.25">
      <c r="A26" s="34" t="s">
        <v>137</v>
      </c>
      <c r="B26" s="14"/>
      <c r="C26" s="23"/>
      <c r="D26" s="29">
        <f>D25/D17</f>
        <v>180.46079999999998</v>
      </c>
      <c r="E26" t="s">
        <v>372</v>
      </c>
    </row>
    <row r="28" spans="1:5" x14ac:dyDescent="0.25">
      <c r="A28" s="21" t="s">
        <v>141</v>
      </c>
      <c r="B28" s="10"/>
      <c r="C28" s="10"/>
      <c r="D28" s="10"/>
    </row>
    <row r="29" spans="1:5" x14ac:dyDescent="0.25">
      <c r="A29" s="33" t="s">
        <v>142</v>
      </c>
      <c r="B29" s="10"/>
      <c r="C29" s="10"/>
      <c r="D29" s="10">
        <v>55</v>
      </c>
    </row>
    <row r="30" spans="1:5" x14ac:dyDescent="0.25">
      <c r="A30" s="33" t="s">
        <v>143</v>
      </c>
      <c r="B30" s="10"/>
      <c r="C30" s="10"/>
      <c r="D30" s="21">
        <f>D29*D15</f>
        <v>344.63</v>
      </c>
      <c r="E30" t="s">
        <v>289</v>
      </c>
    </row>
    <row r="32" spans="1:5" x14ac:dyDescent="0.25">
      <c r="A32" s="21" t="s">
        <v>144</v>
      </c>
      <c r="B32" s="10"/>
      <c r="C32" s="10"/>
      <c r="D32" s="10"/>
      <c r="E32" t="s">
        <v>397</v>
      </c>
    </row>
    <row r="33" spans="1:6" x14ac:dyDescent="0.25">
      <c r="A33" s="33" t="s">
        <v>145</v>
      </c>
      <c r="B33" s="10"/>
      <c r="C33" s="10"/>
      <c r="D33" s="21">
        <v>90</v>
      </c>
    </row>
    <row r="34" spans="1:6" ht="15.75" x14ac:dyDescent="0.25">
      <c r="F34" s="22"/>
    </row>
    <row r="35" spans="1:6" x14ac:dyDescent="0.25">
      <c r="A35" s="21" t="s">
        <v>146</v>
      </c>
      <c r="B35" s="10"/>
      <c r="C35" s="10"/>
      <c r="D35" s="10"/>
      <c r="E35" t="s">
        <v>398</v>
      </c>
    </row>
    <row r="36" spans="1:6" x14ac:dyDescent="0.25">
      <c r="A36" s="33" t="s">
        <v>147</v>
      </c>
      <c r="B36" s="10"/>
      <c r="C36" s="10"/>
      <c r="D36" s="10">
        <v>4</v>
      </c>
    </row>
    <row r="37" spans="1:6" x14ac:dyDescent="0.25">
      <c r="A37" s="33" t="s">
        <v>148</v>
      </c>
      <c r="B37" s="10"/>
      <c r="C37" s="10"/>
      <c r="D37" s="21">
        <f>D36*D16*D15</f>
        <v>58.649759999999993</v>
      </c>
      <c r="E37" t="s">
        <v>369</v>
      </c>
    </row>
    <row r="39" spans="1:6" x14ac:dyDescent="0.25">
      <c r="A39" s="21" t="s">
        <v>149</v>
      </c>
      <c r="B39" s="10"/>
      <c r="C39" s="10"/>
      <c r="D39" s="10"/>
      <c r="E39" t="s">
        <v>399</v>
      </c>
    </row>
    <row r="40" spans="1:6" x14ac:dyDescent="0.25">
      <c r="A40" s="33" t="s">
        <v>150</v>
      </c>
      <c r="B40" s="10"/>
      <c r="C40" s="10"/>
      <c r="D40" s="10">
        <v>17</v>
      </c>
    </row>
    <row r="41" spans="1:6" x14ac:dyDescent="0.25">
      <c r="A41" s="33" t="s">
        <v>148</v>
      </c>
      <c r="B41" s="10"/>
      <c r="C41" s="10"/>
      <c r="D41" s="21">
        <f>ROUND(D40*D16*D15,3)</f>
        <v>249.261</v>
      </c>
      <c r="E41" t="s">
        <v>370</v>
      </c>
    </row>
    <row r="48" spans="1:6" ht="15.75" x14ac:dyDescent="0.25">
      <c r="A48" s="4" t="s">
        <v>66</v>
      </c>
      <c r="B48" s="1"/>
      <c r="C48" s="3">
        <f>ROUND(((D21+D26+D30+D33+D37+D41)/(72*10.885))/2,3)</f>
        <v>0.60799999999999998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D3CAE-748B-45EA-BF17-C7847F423250}">
  <sheetPr codeName="List1"/>
  <dimension ref="A1:BP35"/>
  <sheetViews>
    <sheetView workbookViewId="0">
      <pane xSplit="3" ySplit="2" topLeftCell="AL3" activePane="bottomRight" state="frozen"/>
      <selection pane="topRight" activeCell="K33" sqref="K33"/>
      <selection pane="bottomLeft" activeCell="K33" sqref="K33"/>
      <selection pane="bottomRight" activeCell="AP31" sqref="AP31"/>
    </sheetView>
  </sheetViews>
  <sheetFormatPr defaultColWidth="9.140625" defaultRowHeight="15" x14ac:dyDescent="0.25"/>
  <cols>
    <col min="1" max="1" width="17.28515625" style="1" bestFit="1" customWidth="1"/>
    <col min="2" max="3" width="9.140625" style="1"/>
    <col min="4" max="4" width="6.42578125" style="1" customWidth="1"/>
    <col min="5" max="5" width="14.42578125" style="1" customWidth="1"/>
    <col min="6" max="8" width="9.140625" style="1"/>
    <col min="9" max="9" width="14.28515625" style="1" customWidth="1"/>
    <col min="10" max="12" width="9.140625" style="1"/>
    <col min="13" max="13" width="15.5703125" style="1" customWidth="1"/>
    <col min="14" max="14" width="9.140625" style="1"/>
    <col min="15" max="15" width="9" style="1" customWidth="1"/>
    <col min="16" max="16" width="9.140625" style="1"/>
    <col min="17" max="17" width="15.5703125" style="1" customWidth="1"/>
    <col min="18" max="20" width="9.140625" style="1"/>
    <col min="21" max="21" width="15.42578125" style="1" customWidth="1"/>
    <col min="22" max="24" width="9.140625" style="1"/>
    <col min="25" max="25" width="14.5703125" style="1" customWidth="1"/>
    <col min="26" max="26" width="10.140625" style="1" customWidth="1"/>
    <col min="27" max="28" width="9.140625" style="1"/>
    <col min="29" max="29" width="15.28515625" style="1" customWidth="1"/>
    <col min="30" max="32" width="9.140625" style="1"/>
    <col min="33" max="33" width="14.28515625" style="1" customWidth="1"/>
    <col min="34" max="34" width="9.42578125" style="1" customWidth="1"/>
    <col min="35" max="35" width="9.140625" style="1"/>
    <col min="36" max="36" width="2.85546875" style="1" customWidth="1"/>
    <col min="37" max="37" width="14.85546875" style="1" customWidth="1"/>
    <col min="38" max="54" width="9.140625" style="1"/>
    <col min="55" max="55" width="16.5703125" style="1" bestFit="1" customWidth="1"/>
    <col min="56" max="16384" width="9.140625" style="1"/>
  </cols>
  <sheetData>
    <row r="1" spans="1:68" ht="15" customHeight="1" x14ac:dyDescent="0.2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/>
      <c r="AK1" s="50" t="s">
        <v>1</v>
      </c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/>
      <c r="BE1"/>
      <c r="BF1"/>
      <c r="BG1"/>
      <c r="BH1"/>
      <c r="BI1"/>
      <c r="BJ1"/>
      <c r="BK1"/>
      <c r="BL1"/>
      <c r="BM1"/>
      <c r="BN1"/>
      <c r="BO1"/>
      <c r="BP1"/>
    </row>
    <row r="2" spans="1:68" ht="15" customHeight="1" x14ac:dyDescent="0.2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/>
      <c r="BE2"/>
      <c r="BF2"/>
      <c r="BG2"/>
      <c r="BH2"/>
      <c r="BI2"/>
      <c r="BJ2"/>
      <c r="BK2"/>
      <c r="BL2"/>
      <c r="BM2"/>
      <c r="BN2"/>
      <c r="BO2"/>
      <c r="BP2"/>
    </row>
    <row r="4" spans="1:68" ht="15" customHeight="1" x14ac:dyDescent="0.25">
      <c r="A4" s="1" t="s">
        <v>2</v>
      </c>
      <c r="C4" s="1">
        <v>79200</v>
      </c>
    </row>
    <row r="5" spans="1:68" ht="15" customHeight="1" x14ac:dyDescent="0.25">
      <c r="A5" s="1" t="s">
        <v>3</v>
      </c>
      <c r="C5" s="1">
        <v>72</v>
      </c>
      <c r="E5" s="47" t="s">
        <v>4</v>
      </c>
      <c r="F5" s="47"/>
      <c r="G5" s="47"/>
      <c r="I5" s="47" t="s">
        <v>5</v>
      </c>
      <c r="J5" s="47"/>
      <c r="K5" s="47"/>
      <c r="M5" s="47" t="s">
        <v>6</v>
      </c>
      <c r="N5" s="47"/>
      <c r="O5" s="47"/>
      <c r="Q5" s="47" t="s">
        <v>7</v>
      </c>
      <c r="R5" s="47"/>
      <c r="S5" s="47"/>
      <c r="U5" s="47" t="s">
        <v>8</v>
      </c>
      <c r="V5" s="47"/>
      <c r="W5" s="47"/>
      <c r="Y5" s="47" t="s">
        <v>9</v>
      </c>
      <c r="Z5" s="47"/>
      <c r="AA5" s="47"/>
      <c r="AC5" s="47" t="s">
        <v>10</v>
      </c>
      <c r="AD5" s="47"/>
      <c r="AE5" s="47"/>
      <c r="AG5" s="47" t="s">
        <v>11</v>
      </c>
      <c r="AH5" s="47"/>
      <c r="AI5" s="47"/>
      <c r="AK5" s="47" t="s">
        <v>12</v>
      </c>
      <c r="AL5" s="47"/>
      <c r="AM5" s="47"/>
      <c r="AO5" s="47" t="s">
        <v>13</v>
      </c>
      <c r="AP5" s="47"/>
      <c r="AQ5" s="47"/>
      <c r="AS5" s="47" t="s">
        <v>14</v>
      </c>
      <c r="AT5" s="47"/>
      <c r="AU5" s="47"/>
      <c r="AW5" s="47" t="s">
        <v>15</v>
      </c>
      <c r="AX5" s="47"/>
      <c r="AY5" s="47"/>
      <c r="BA5" s="47" t="s">
        <v>16</v>
      </c>
      <c r="BB5" s="47"/>
      <c r="BC5" s="47"/>
    </row>
    <row r="6" spans="1:68" ht="15" customHeight="1" x14ac:dyDescent="0.25">
      <c r="A6" s="1" t="s">
        <v>17</v>
      </c>
      <c r="C6" s="1">
        <v>96</v>
      </c>
      <c r="E6" s="3" t="s">
        <v>18</v>
      </c>
      <c r="I6" s="3" t="s">
        <v>18</v>
      </c>
      <c r="M6" s="3" t="s">
        <v>19</v>
      </c>
      <c r="Q6" s="3" t="s">
        <v>18</v>
      </c>
      <c r="U6" s="3" t="s">
        <v>18</v>
      </c>
      <c r="Y6" s="3" t="s">
        <v>18</v>
      </c>
      <c r="AC6" s="3" t="s">
        <v>18</v>
      </c>
      <c r="AG6" s="3" t="s">
        <v>18</v>
      </c>
      <c r="AK6" s="3" t="s">
        <v>18</v>
      </c>
      <c r="AO6" s="3" t="s">
        <v>18</v>
      </c>
      <c r="AS6" s="3" t="s">
        <v>18</v>
      </c>
      <c r="AW6" s="3" t="s">
        <v>18</v>
      </c>
      <c r="BA6" s="3" t="s">
        <v>18</v>
      </c>
    </row>
    <row r="7" spans="1:68" ht="15" customHeight="1" x14ac:dyDescent="0.25">
      <c r="A7" s="1" t="s">
        <v>20</v>
      </c>
      <c r="C7" s="1">
        <v>1045</v>
      </c>
      <c r="E7" s="1" t="s">
        <v>21</v>
      </c>
      <c r="G7" s="1">
        <v>70</v>
      </c>
      <c r="I7" s="1" t="s">
        <v>21</v>
      </c>
      <c r="K7" s="1">
        <v>60</v>
      </c>
      <c r="M7" s="1" t="s">
        <v>22</v>
      </c>
      <c r="O7" s="1">
        <v>40</v>
      </c>
      <c r="Q7" s="1" t="s">
        <v>21</v>
      </c>
      <c r="S7" s="1">
        <v>700</v>
      </c>
      <c r="U7" s="1" t="s">
        <v>21</v>
      </c>
      <c r="W7" s="1">
        <v>700</v>
      </c>
      <c r="Y7" s="1" t="s">
        <v>21</v>
      </c>
      <c r="AA7" s="1">
        <v>1180</v>
      </c>
      <c r="AC7" s="1" t="s">
        <v>21</v>
      </c>
      <c r="AE7" s="1">
        <v>1180</v>
      </c>
      <c r="AG7" s="1" t="s">
        <v>21</v>
      </c>
      <c r="AI7" s="1">
        <v>420</v>
      </c>
      <c r="AK7" s="1" t="s">
        <v>21</v>
      </c>
      <c r="AM7" s="1">
        <v>70</v>
      </c>
      <c r="AO7" s="1" t="s">
        <v>23</v>
      </c>
      <c r="AQ7" s="1">
        <v>60</v>
      </c>
      <c r="AS7" s="1" t="s">
        <v>23</v>
      </c>
      <c r="AU7" s="1">
        <v>60</v>
      </c>
      <c r="AW7" s="1" t="s">
        <v>21</v>
      </c>
      <c r="AY7" s="1">
        <v>825</v>
      </c>
      <c r="BA7" s="1" t="s">
        <v>21</v>
      </c>
      <c r="BC7" s="1">
        <v>582</v>
      </c>
    </row>
    <row r="8" spans="1:68" ht="15" customHeight="1" x14ac:dyDescent="0.25">
      <c r="A8" s="1" t="s">
        <v>24</v>
      </c>
      <c r="C8" s="1">
        <f>ROUND(C7/C6,3)</f>
        <v>10.885</v>
      </c>
      <c r="E8" s="1" t="s">
        <v>25</v>
      </c>
      <c r="G8" s="1">
        <f>ROUND(G7*C21,3)</f>
        <v>1744.54</v>
      </c>
      <c r="I8" s="1" t="s">
        <v>25</v>
      </c>
      <c r="K8" s="1">
        <f>ROUND(K7*C21,3)</f>
        <v>1495.32</v>
      </c>
      <c r="M8" s="1" t="s">
        <v>26</v>
      </c>
      <c r="O8" s="3">
        <f>ROUND(O7/C16,3)</f>
        <v>30.768999999999998</v>
      </c>
      <c r="Q8" s="1" t="s">
        <v>27</v>
      </c>
      <c r="S8" s="3">
        <f>ROUND(S7/C15,3)</f>
        <v>419.16199999999998</v>
      </c>
      <c r="U8" s="1" t="s">
        <v>27</v>
      </c>
      <c r="W8" s="3">
        <f>ROUND(W7/C15,3)</f>
        <v>419.16199999999998</v>
      </c>
      <c r="Y8" s="1" t="s">
        <v>27</v>
      </c>
      <c r="AA8" s="3">
        <f>ROUND(AA7/C15,3)</f>
        <v>706.58699999999999</v>
      </c>
      <c r="AC8" s="1" t="s">
        <v>27</v>
      </c>
      <c r="AE8" s="3">
        <f>ROUND(AE7/C15,3)</f>
        <v>706.58699999999999</v>
      </c>
      <c r="AG8" s="1" t="s">
        <v>27</v>
      </c>
      <c r="AI8" s="3">
        <f>ROUND(AI7/C15,3)</f>
        <v>251.49700000000001</v>
      </c>
      <c r="AK8" s="1" t="s">
        <v>25</v>
      </c>
      <c r="AM8" s="1">
        <f>ROUND(AM7*C26,3)</f>
        <v>513.30999999999995</v>
      </c>
      <c r="AO8" s="1" t="s">
        <v>28</v>
      </c>
      <c r="AQ8" s="1">
        <f>ROUND(AQ7*AQ14,3)</f>
        <v>439.98</v>
      </c>
      <c r="AS8" s="1" t="s">
        <v>28</v>
      </c>
      <c r="AU8" s="1">
        <f>ROUND(AU7*AU14,3)</f>
        <v>460.02</v>
      </c>
      <c r="AW8" s="1" t="s">
        <v>27</v>
      </c>
      <c r="AY8" s="3">
        <f>ROUND(AY7/C15,3)</f>
        <v>494.012</v>
      </c>
      <c r="BA8" s="1" t="s">
        <v>27</v>
      </c>
      <c r="BC8" s="3">
        <f>ROUND(BC7/C15,3)</f>
        <v>348.50299999999999</v>
      </c>
    </row>
    <row r="9" spans="1:68" x14ac:dyDescent="0.25">
      <c r="A9" s="1" t="s">
        <v>29</v>
      </c>
      <c r="C9" s="1">
        <f>ROUND(C7/48,3)</f>
        <v>21.771000000000001</v>
      </c>
      <c r="E9" s="1" t="s">
        <v>27</v>
      </c>
      <c r="G9" s="3">
        <f>ROUND(G8/C14,3)</f>
        <v>942.995</v>
      </c>
      <c r="I9" s="1" t="s">
        <v>27</v>
      </c>
      <c r="K9" s="3">
        <f>ROUND(K8/C14,3)</f>
        <v>808.28099999999995</v>
      </c>
      <c r="M9" s="1" t="s">
        <v>30</v>
      </c>
      <c r="O9" s="1">
        <v>16</v>
      </c>
      <c r="W9" s="3"/>
      <c r="AA9" s="3"/>
      <c r="AE9" s="3"/>
      <c r="AI9" s="3"/>
      <c r="AK9" s="1" t="s">
        <v>27</v>
      </c>
      <c r="AM9" s="3">
        <f>ROUND(AM8/C14,3)</f>
        <v>277.46499999999997</v>
      </c>
      <c r="AO9" s="1" t="s">
        <v>31</v>
      </c>
      <c r="AQ9" s="1">
        <v>80</v>
      </c>
      <c r="AS9" s="1" t="s">
        <v>31</v>
      </c>
      <c r="AU9" s="1">
        <v>60</v>
      </c>
    </row>
    <row r="10" spans="1:68" x14ac:dyDescent="0.25">
      <c r="A10" s="1" t="s">
        <v>32</v>
      </c>
      <c r="C10" s="1">
        <f>ROUND(C7/24,3)</f>
        <v>43.542000000000002</v>
      </c>
      <c r="M10" s="1" t="s">
        <v>33</v>
      </c>
      <c r="O10" s="1">
        <f>ROUND(O9/C16,3)</f>
        <v>12.308</v>
      </c>
      <c r="Q10" s="3" t="s">
        <v>34</v>
      </c>
      <c r="U10" s="3" t="s">
        <v>34</v>
      </c>
      <c r="Y10" s="3" t="s">
        <v>34</v>
      </c>
      <c r="AC10" s="3" t="s">
        <v>34</v>
      </c>
      <c r="AG10" s="3" t="s">
        <v>34</v>
      </c>
      <c r="AO10" s="1" t="s">
        <v>35</v>
      </c>
      <c r="AQ10" s="1">
        <f>ROUND((AQ9*AQ14)/2,3)</f>
        <v>293.32</v>
      </c>
      <c r="AS10" s="1" t="s">
        <v>35</v>
      </c>
      <c r="AU10" s="1">
        <f>ROUND((AU9*AU14)/2,3)</f>
        <v>230.01</v>
      </c>
      <c r="AW10" s="3" t="s">
        <v>19</v>
      </c>
      <c r="BA10" s="3" t="s">
        <v>19</v>
      </c>
    </row>
    <row r="11" spans="1:68" x14ac:dyDescent="0.25">
      <c r="A11" s="1" t="s">
        <v>36</v>
      </c>
      <c r="C11" s="1">
        <f>ROUND(C7/18,3)</f>
        <v>58.055999999999997</v>
      </c>
      <c r="E11" s="3" t="s">
        <v>34</v>
      </c>
      <c r="I11" s="3" t="s">
        <v>34</v>
      </c>
      <c r="M11" s="1" t="s">
        <v>37</v>
      </c>
      <c r="O11" s="1">
        <f>ROUND(O10*O19,3)</f>
        <v>43.078000000000003</v>
      </c>
      <c r="Q11" s="1" t="s">
        <v>38</v>
      </c>
      <c r="S11" s="1">
        <v>3226</v>
      </c>
      <c r="U11" s="1" t="s">
        <v>38</v>
      </c>
      <c r="W11" s="1">
        <v>3573</v>
      </c>
      <c r="Y11" s="1" t="s">
        <v>38</v>
      </c>
      <c r="AA11" s="1">
        <v>2915</v>
      </c>
      <c r="AC11" s="1" t="s">
        <v>38</v>
      </c>
      <c r="AE11" s="1">
        <v>1971</v>
      </c>
      <c r="AG11" s="1" t="s">
        <v>38</v>
      </c>
      <c r="AI11" s="1">
        <v>3037</v>
      </c>
      <c r="AK11" s="3" t="s">
        <v>34</v>
      </c>
      <c r="AO11" s="1" t="s">
        <v>27</v>
      </c>
      <c r="AQ11" s="3">
        <f>ROUND((AQ8+AQ10)/C14,3)</f>
        <v>396.37799999999999</v>
      </c>
      <c r="AS11" s="1" t="s">
        <v>27</v>
      </c>
      <c r="AU11" s="3">
        <f>ROUND((AU8+AU10)/C14,3)</f>
        <v>372.98899999999998</v>
      </c>
      <c r="AW11" s="1" t="s">
        <v>39</v>
      </c>
      <c r="AY11" s="1">
        <v>81</v>
      </c>
      <c r="BA11" s="1" t="s">
        <v>39</v>
      </c>
      <c r="BC11" s="1">
        <v>96</v>
      </c>
    </row>
    <row r="12" spans="1:68" x14ac:dyDescent="0.25">
      <c r="A12" s="1" t="s">
        <v>40</v>
      </c>
      <c r="C12" s="1">
        <f>ROUND(C7/12,3)</f>
        <v>87.082999999999998</v>
      </c>
      <c r="E12" s="1" t="s">
        <v>41</v>
      </c>
      <c r="G12" s="1">
        <v>12</v>
      </c>
      <c r="I12" t="s">
        <v>42</v>
      </c>
      <c r="J12"/>
      <c r="K12" s="1">
        <v>7</v>
      </c>
      <c r="M12" s="1" t="s">
        <v>43</v>
      </c>
      <c r="O12" s="3">
        <f>ROUND(O11*O15,3)</f>
        <v>276.08699999999999</v>
      </c>
      <c r="Q12" s="1" t="s">
        <v>44</v>
      </c>
      <c r="S12" s="1">
        <f>ROUND(S11/48,3)</f>
        <v>67.207999999999998</v>
      </c>
      <c r="U12" s="1" t="s">
        <v>44</v>
      </c>
      <c r="W12" s="1">
        <f>ROUND(W11/48,3)</f>
        <v>74.438000000000002</v>
      </c>
      <c r="Y12" s="1" t="s">
        <v>44</v>
      </c>
      <c r="AA12" s="1">
        <f>ROUND(AA11/48,3)</f>
        <v>60.728999999999999</v>
      </c>
      <c r="AC12" s="1" t="s">
        <v>44</v>
      </c>
      <c r="AE12" s="1">
        <f>ROUND(AE11/48,3)</f>
        <v>41.063000000000002</v>
      </c>
      <c r="AG12" s="1" t="s">
        <v>44</v>
      </c>
      <c r="AI12" s="1">
        <f>ROUND(AI11/96,3)</f>
        <v>31.635000000000002</v>
      </c>
      <c r="AK12" t="s">
        <v>45</v>
      </c>
      <c r="AL12"/>
      <c r="AM12">
        <v>10</v>
      </c>
      <c r="AN12"/>
      <c r="AW12" s="1" t="s">
        <v>46</v>
      </c>
      <c r="AY12" s="3">
        <f>ROUND(AY11/C16,3)</f>
        <v>62.308</v>
      </c>
      <c r="BA12" s="1" t="s">
        <v>46</v>
      </c>
      <c r="BC12" s="3">
        <f>ROUND(BC11/C16,3)</f>
        <v>73.846000000000004</v>
      </c>
    </row>
    <row r="13" spans="1:68" x14ac:dyDescent="0.25">
      <c r="E13" s="1" t="s">
        <v>47</v>
      </c>
      <c r="G13" s="3">
        <f>ROUND(G12*C21,3)</f>
        <v>299.06400000000002</v>
      </c>
      <c r="I13" s="45" t="s">
        <v>47</v>
      </c>
      <c r="J13" s="45"/>
      <c r="K13" s="3">
        <f>ROUND(K12*C21,3)</f>
        <v>174.45400000000001</v>
      </c>
      <c r="Q13" s="1" t="s">
        <v>48</v>
      </c>
      <c r="R13"/>
      <c r="S13" s="2">
        <v>9</v>
      </c>
      <c r="U13" s="1" t="s">
        <v>48</v>
      </c>
      <c r="V13"/>
      <c r="W13" s="2">
        <v>9</v>
      </c>
      <c r="Y13" s="1" t="s">
        <v>48</v>
      </c>
      <c r="Z13"/>
      <c r="AA13" s="2">
        <v>9</v>
      </c>
      <c r="AC13" s="1" t="s">
        <v>48</v>
      </c>
      <c r="AD13"/>
      <c r="AE13" s="2">
        <v>9</v>
      </c>
      <c r="AG13" s="1" t="s">
        <v>48</v>
      </c>
      <c r="AH13"/>
      <c r="AI13" s="2">
        <v>9</v>
      </c>
      <c r="AK13" s="5" t="s">
        <v>47</v>
      </c>
      <c r="AL13" s="5"/>
      <c r="AM13" s="13">
        <f>ROUND(AM12*C26,3)</f>
        <v>73.33</v>
      </c>
      <c r="AN13"/>
      <c r="AO13" s="3" t="s">
        <v>34</v>
      </c>
      <c r="AS13" s="3" t="s">
        <v>34</v>
      </c>
      <c r="AW13" s="1" t="s">
        <v>49</v>
      </c>
      <c r="AY13" s="1">
        <v>32</v>
      </c>
      <c r="BA13" s="1" t="s">
        <v>49</v>
      </c>
      <c r="BC13" s="1">
        <v>27</v>
      </c>
    </row>
    <row r="14" spans="1:68" x14ac:dyDescent="0.25">
      <c r="A14" s="1" t="s">
        <v>50</v>
      </c>
      <c r="C14" s="1">
        <v>1.85</v>
      </c>
      <c r="E14" s="1" t="s">
        <v>51</v>
      </c>
      <c r="G14" s="1">
        <v>20</v>
      </c>
      <c r="I14" t="s">
        <v>52</v>
      </c>
      <c r="J14"/>
      <c r="K14" s="1">
        <v>12</v>
      </c>
      <c r="M14" s="3" t="s">
        <v>34</v>
      </c>
      <c r="Q14" s="5" t="s">
        <v>53</v>
      </c>
      <c r="R14" s="5"/>
      <c r="S14" s="3">
        <f>ROUND(S13*S12,3)</f>
        <v>604.87199999999996</v>
      </c>
      <c r="U14" s="5" t="s">
        <v>53</v>
      </c>
      <c r="V14" s="5"/>
      <c r="W14" s="3">
        <f>ROUND(W13*W12,3)</f>
        <v>669.94200000000001</v>
      </c>
      <c r="Y14" s="5" t="s">
        <v>53</v>
      </c>
      <c r="Z14" s="5"/>
      <c r="AA14" s="3">
        <f>ROUND(AA13*AA12,3)</f>
        <v>546.56100000000004</v>
      </c>
      <c r="AC14" s="5" t="s">
        <v>53</v>
      </c>
      <c r="AD14" s="5"/>
      <c r="AE14" s="3">
        <f>ROUND(AE13*AE12,3)</f>
        <v>369.56700000000001</v>
      </c>
      <c r="AG14" s="5" t="s">
        <v>53</v>
      </c>
      <c r="AH14" s="5"/>
      <c r="AI14" s="3">
        <f>ROUND(AI13*AI12,3)</f>
        <v>284.71499999999997</v>
      </c>
      <c r="AK14" t="s">
        <v>51</v>
      </c>
      <c r="AL14"/>
      <c r="AM14">
        <v>15</v>
      </c>
      <c r="AN14"/>
      <c r="AO14" t="s">
        <v>54</v>
      </c>
      <c r="AP14"/>
      <c r="AQ14">
        <v>7.3330000000000002</v>
      </c>
      <c r="AS14" t="s">
        <v>54</v>
      </c>
      <c r="AT14"/>
      <c r="AU14">
        <v>7.6669999999999998</v>
      </c>
      <c r="AW14" s="1" t="s">
        <v>55</v>
      </c>
      <c r="AY14" s="3">
        <f>ROUND(AY13/C16,3)</f>
        <v>24.614999999999998</v>
      </c>
      <c r="BA14" s="1" t="s">
        <v>55</v>
      </c>
      <c r="BC14" s="3">
        <f>ROUND(BC13/C16,3)</f>
        <v>20.768999999999998</v>
      </c>
    </row>
    <row r="15" spans="1:68" x14ac:dyDescent="0.25">
      <c r="A15" s="1" t="s">
        <v>56</v>
      </c>
      <c r="C15" s="1">
        <v>1.67</v>
      </c>
      <c r="E15" s="1" t="s">
        <v>57</v>
      </c>
      <c r="G15" s="3">
        <f>ROUND(G14*C19,3)</f>
        <v>897.2</v>
      </c>
      <c r="I15" t="s">
        <v>58</v>
      </c>
      <c r="J15"/>
      <c r="K15" s="3">
        <f>ROUND(K14*C19,3)</f>
        <v>538.32000000000005</v>
      </c>
      <c r="M15" s="1" t="s">
        <v>59</v>
      </c>
      <c r="O15" s="1">
        <f>ROUND(C19/7,3)</f>
        <v>6.4089999999999998</v>
      </c>
      <c r="Q15" s="1" t="s">
        <v>60</v>
      </c>
      <c r="R15"/>
      <c r="S15" s="1">
        <v>6</v>
      </c>
      <c r="U15" s="1" t="s">
        <v>60</v>
      </c>
      <c r="V15"/>
      <c r="W15" s="1">
        <v>6</v>
      </c>
      <c r="Y15" s="1" t="s">
        <v>60</v>
      </c>
      <c r="Z15"/>
      <c r="AA15" s="1">
        <v>6</v>
      </c>
      <c r="AC15" s="1" t="s">
        <v>60</v>
      </c>
      <c r="AD15"/>
      <c r="AE15" s="1">
        <v>6</v>
      </c>
      <c r="AG15" s="1" t="s">
        <v>60</v>
      </c>
      <c r="AH15"/>
      <c r="AI15" s="1">
        <v>6</v>
      </c>
      <c r="AK15" t="s">
        <v>57</v>
      </c>
      <c r="AL15"/>
      <c r="AM15" s="13">
        <f>ROUND(AM14*C24,3)</f>
        <v>165</v>
      </c>
      <c r="AN15"/>
      <c r="AO15" s="1" t="s">
        <v>61</v>
      </c>
      <c r="AP15" s="5"/>
      <c r="AQ15">
        <v>10</v>
      </c>
      <c r="AS15" s="1" t="s">
        <v>61</v>
      </c>
      <c r="AT15" s="5"/>
      <c r="AU15">
        <v>10</v>
      </c>
    </row>
    <row r="16" spans="1:68" x14ac:dyDescent="0.25">
      <c r="A16" s="1" t="s">
        <v>62</v>
      </c>
      <c r="C16" s="1">
        <v>1.3</v>
      </c>
      <c r="M16" t="s">
        <v>63</v>
      </c>
      <c r="O16" s="1">
        <v>55</v>
      </c>
      <c r="Q16" s="1" t="s">
        <v>64</v>
      </c>
      <c r="R16"/>
      <c r="S16" s="7">
        <f>ROUND(S15*S19,3)</f>
        <v>27</v>
      </c>
      <c r="U16" s="1" t="s">
        <v>64</v>
      </c>
      <c r="V16"/>
      <c r="W16" s="7">
        <f>ROUND(W15*W19,3)</f>
        <v>24</v>
      </c>
      <c r="Y16" s="1" t="s">
        <v>64</v>
      </c>
      <c r="Z16"/>
      <c r="AA16" s="7">
        <f>ROUND(AA15*AA19,3)</f>
        <v>40.799999999999997</v>
      </c>
      <c r="AC16" s="1" t="s">
        <v>64</v>
      </c>
      <c r="AD16"/>
      <c r="AE16" s="7">
        <f>ROUND(AE15*AE19,3)</f>
        <v>42</v>
      </c>
      <c r="AG16" s="1" t="s">
        <v>64</v>
      </c>
      <c r="AH16"/>
      <c r="AI16" s="7">
        <f>ROUND(AI15*AI19,3)</f>
        <v>42</v>
      </c>
      <c r="AK16" t="s">
        <v>65</v>
      </c>
      <c r="AL16"/>
      <c r="AM16">
        <v>2</v>
      </c>
      <c r="AN16"/>
      <c r="AO16" s="5" t="s">
        <v>47</v>
      </c>
      <c r="AP16"/>
      <c r="AQ16" s="13">
        <f>ROUND(AQ14*AQ15,3)</f>
        <v>73.33</v>
      </c>
      <c r="AS16" s="5" t="s">
        <v>47</v>
      </c>
      <c r="AT16"/>
      <c r="AU16" s="13">
        <f>ROUND(AU14*AU15,3)</f>
        <v>76.67</v>
      </c>
      <c r="AW16" s="3" t="s">
        <v>34</v>
      </c>
      <c r="AY16" s="3"/>
      <c r="BA16" s="3" t="s">
        <v>34</v>
      </c>
      <c r="BC16" s="3"/>
    </row>
    <row r="17" spans="1:55" ht="15.75" x14ac:dyDescent="0.25">
      <c r="E17" s="4" t="s">
        <v>66</v>
      </c>
      <c r="G17" s="3">
        <f>ROUND(((G9+G13+G15)/(C5*C8))/3,3)</f>
        <v>0.91</v>
      </c>
      <c r="I17" s="4" t="s">
        <v>66</v>
      </c>
      <c r="K17" s="3">
        <f>ROUND(((K9+K13+K15)/(C5*C8))/2,3)</f>
        <v>0.97</v>
      </c>
      <c r="M17" s="1" t="s">
        <v>67</v>
      </c>
      <c r="N17"/>
      <c r="O17" s="3">
        <f>ROUND(O16*O15,3)</f>
        <v>352.495</v>
      </c>
      <c r="AK17" s="1" t="s">
        <v>68</v>
      </c>
      <c r="AM17" s="3">
        <f>ROUND(AM16*2*C24,3)</f>
        <v>44</v>
      </c>
      <c r="AO17" t="s">
        <v>69</v>
      </c>
      <c r="AP17"/>
      <c r="AQ17">
        <v>10</v>
      </c>
      <c r="AS17" t="s">
        <v>69</v>
      </c>
      <c r="AT17"/>
      <c r="AU17">
        <v>10</v>
      </c>
      <c r="AW17" s="1" t="s">
        <v>70</v>
      </c>
      <c r="AY17" s="1">
        <v>120</v>
      </c>
      <c r="BA17" s="1" t="s">
        <v>71</v>
      </c>
      <c r="BC17" s="1">
        <v>415</v>
      </c>
    </row>
    <row r="18" spans="1:55" x14ac:dyDescent="0.25">
      <c r="A18" s="11" t="s">
        <v>72</v>
      </c>
      <c r="B18" s="12"/>
      <c r="C18" s="12"/>
      <c r="M18" s="5" t="s">
        <v>73</v>
      </c>
      <c r="N18" s="5"/>
      <c r="O18" s="3">
        <v>90</v>
      </c>
      <c r="Q18" s="3" t="s">
        <v>19</v>
      </c>
      <c r="U18" s="3" t="s">
        <v>19</v>
      </c>
      <c r="Y18" s="3" t="s">
        <v>19</v>
      </c>
      <c r="AC18" s="3" t="s">
        <v>19</v>
      </c>
      <c r="AG18" s="3" t="s">
        <v>19</v>
      </c>
      <c r="AO18" t="s">
        <v>74</v>
      </c>
      <c r="AP18"/>
      <c r="AQ18" s="13">
        <f>ROUND(AQ17*AQ14,3)</f>
        <v>73.33</v>
      </c>
      <c r="AS18" t="s">
        <v>74</v>
      </c>
      <c r="AT18"/>
      <c r="AU18" s="13">
        <f>ROUND(AU17*AU14,3)</f>
        <v>76.67</v>
      </c>
      <c r="AW18" s="1" t="s">
        <v>75</v>
      </c>
      <c r="AY18" s="1">
        <v>6.8900000000000003E-2</v>
      </c>
      <c r="BA18" s="1" t="s">
        <v>76</v>
      </c>
      <c r="BC18" s="1">
        <f>ROUND(BC17/C12,3)</f>
        <v>4.766</v>
      </c>
    </row>
    <row r="19" spans="1:55" ht="15.75" x14ac:dyDescent="0.25">
      <c r="A19" s="12" t="s">
        <v>77</v>
      </c>
      <c r="B19" s="12"/>
      <c r="C19" s="12">
        <v>44.86</v>
      </c>
      <c r="M19" s="1" t="s">
        <v>78</v>
      </c>
      <c r="O19" s="1">
        <v>3.5</v>
      </c>
      <c r="Q19" s="26" t="s">
        <v>79</v>
      </c>
      <c r="S19" s="1">
        <v>4.5</v>
      </c>
      <c r="U19" s="26" t="s">
        <v>79</v>
      </c>
      <c r="W19" s="1">
        <v>4</v>
      </c>
      <c r="Y19" s="26" t="s">
        <v>79</v>
      </c>
      <c r="AA19" s="1">
        <v>6.8</v>
      </c>
      <c r="AC19" s="26" t="s">
        <v>79</v>
      </c>
      <c r="AE19" s="1">
        <v>7</v>
      </c>
      <c r="AG19" s="26" t="s">
        <v>79</v>
      </c>
      <c r="AI19" s="1">
        <v>7</v>
      </c>
      <c r="AK19" s="4" t="s">
        <v>66</v>
      </c>
      <c r="AM19" s="3">
        <f>ROUND(((AM9+AM13+AM15+AM17)/(C5*C8)),3)</f>
        <v>0.71399999999999997</v>
      </c>
      <c r="AO19" t="s">
        <v>80</v>
      </c>
      <c r="AP19"/>
      <c r="AQ19">
        <v>10</v>
      </c>
      <c r="AS19" t="s">
        <v>80</v>
      </c>
      <c r="AT19"/>
      <c r="AU19">
        <v>10</v>
      </c>
      <c r="AW19" s="1" t="s">
        <v>81</v>
      </c>
      <c r="AY19" s="3">
        <f>ROUND(AY17*AY18,3)</f>
        <v>8.2680000000000007</v>
      </c>
      <c r="BA19" s="1" t="s">
        <v>82</v>
      </c>
      <c r="BC19" s="1">
        <v>10</v>
      </c>
    </row>
    <row r="20" spans="1:55" ht="15" customHeight="1" x14ac:dyDescent="0.25">
      <c r="A20" s="12" t="s">
        <v>83</v>
      </c>
      <c r="B20" s="12"/>
      <c r="C20" s="12">
        <v>1.8</v>
      </c>
      <c r="D20"/>
      <c r="E20"/>
      <c r="F20"/>
      <c r="G20"/>
      <c r="M20" t="s">
        <v>84</v>
      </c>
      <c r="N20"/>
      <c r="O20">
        <v>4</v>
      </c>
      <c r="Q20" s="26" t="s">
        <v>85</v>
      </c>
      <c r="S20" s="3">
        <v>2.5</v>
      </c>
      <c r="U20" s="26" t="s">
        <v>85</v>
      </c>
      <c r="W20" s="3">
        <v>3</v>
      </c>
      <c r="Y20" s="26" t="s">
        <v>85</v>
      </c>
      <c r="AA20" s="3">
        <v>0</v>
      </c>
      <c r="AC20" s="26" t="s">
        <v>85</v>
      </c>
      <c r="AE20" s="3">
        <v>0</v>
      </c>
      <c r="AG20" s="26" t="s">
        <v>85</v>
      </c>
      <c r="AI20" s="3">
        <v>0</v>
      </c>
      <c r="AO20" t="s">
        <v>86</v>
      </c>
      <c r="AP20"/>
      <c r="AQ20" s="13">
        <f>ROUND(AQ19*AQ14,3)</f>
        <v>73.33</v>
      </c>
      <c r="AS20" t="s">
        <v>86</v>
      </c>
      <c r="AT20"/>
      <c r="AU20" s="13">
        <f>ROUND(AU19*AU14,3)</f>
        <v>76.67</v>
      </c>
      <c r="AW20" s="1" t="s">
        <v>71</v>
      </c>
      <c r="AY20" s="1">
        <v>300</v>
      </c>
      <c r="BA20" s="1" t="s">
        <v>87</v>
      </c>
      <c r="BC20" s="3">
        <f>ROUND(BC18*BC19,3)</f>
        <v>47.66</v>
      </c>
    </row>
    <row r="21" spans="1:55" ht="15" customHeight="1" x14ac:dyDescent="0.25">
      <c r="A21" s="12" t="s">
        <v>88</v>
      </c>
      <c r="B21" s="12"/>
      <c r="C21" s="12">
        <f>ROUND(C19/C20,3)</f>
        <v>24.922000000000001</v>
      </c>
      <c r="D21"/>
      <c r="E21"/>
      <c r="F21"/>
      <c r="G21"/>
      <c r="M21" t="s">
        <v>89</v>
      </c>
      <c r="N21"/>
      <c r="O21" s="6">
        <f>O20*O19</f>
        <v>14</v>
      </c>
      <c r="Q21" s="26" t="s">
        <v>90</v>
      </c>
      <c r="S21" s="1">
        <v>4</v>
      </c>
      <c r="U21" s="26" t="s">
        <v>90</v>
      </c>
      <c r="W21" s="1">
        <v>4</v>
      </c>
      <c r="Y21" s="26" t="s">
        <v>90</v>
      </c>
      <c r="AA21" s="1">
        <v>4</v>
      </c>
      <c r="AC21" s="26" t="s">
        <v>90</v>
      </c>
      <c r="AE21" s="1">
        <v>4</v>
      </c>
      <c r="AG21" s="26" t="s">
        <v>90</v>
      </c>
      <c r="AI21" s="1">
        <v>4</v>
      </c>
      <c r="AO21" t="s">
        <v>65</v>
      </c>
      <c r="AQ21" s="2">
        <v>2</v>
      </c>
      <c r="AS21" t="s">
        <v>65</v>
      </c>
      <c r="AU21" s="2">
        <v>2</v>
      </c>
      <c r="AW21" s="1" t="s">
        <v>76</v>
      </c>
      <c r="AY21" s="1">
        <f>ROUND(AY20/C11,3)</f>
        <v>5.1669999999999998</v>
      </c>
      <c r="BA21" s="1" t="s">
        <v>91</v>
      </c>
      <c r="BC21" s="1">
        <v>40</v>
      </c>
    </row>
    <row r="22" spans="1:55" x14ac:dyDescent="0.25">
      <c r="D22"/>
      <c r="E22"/>
      <c r="F22"/>
      <c r="G22"/>
      <c r="M22" t="s">
        <v>92</v>
      </c>
      <c r="N22"/>
      <c r="O22" s="27">
        <f>O21*O15</f>
        <v>89.725999999999999</v>
      </c>
      <c r="Q22" s="26" t="s">
        <v>93</v>
      </c>
      <c r="S22" s="1">
        <f>S20*S21</f>
        <v>10</v>
      </c>
      <c r="U22" s="26" t="s">
        <v>93</v>
      </c>
      <c r="W22" s="1">
        <f>W20*W21</f>
        <v>12</v>
      </c>
      <c r="Y22" s="26" t="s">
        <v>93</v>
      </c>
      <c r="AA22" s="1">
        <f>AA20*AA21</f>
        <v>0</v>
      </c>
      <c r="AC22" s="26" t="s">
        <v>93</v>
      </c>
      <c r="AE22" s="1">
        <f>AE20*AE21</f>
        <v>0</v>
      </c>
      <c r="AG22" s="26" t="s">
        <v>93</v>
      </c>
      <c r="AI22" s="1">
        <f>AI20*AI21</f>
        <v>0</v>
      </c>
      <c r="AO22" s="1" t="s">
        <v>68</v>
      </c>
      <c r="AQ22" s="3">
        <f>ROUND(AQ14*AQ21*2,3)</f>
        <v>29.332000000000001</v>
      </c>
      <c r="AS22" s="1" t="s">
        <v>68</v>
      </c>
      <c r="AU22" s="3">
        <f>ROUND(AU14*AU21*2,3)</f>
        <v>30.667999999999999</v>
      </c>
      <c r="AW22" s="1" t="s">
        <v>82</v>
      </c>
      <c r="AY22" s="1">
        <v>10</v>
      </c>
      <c r="BA22" s="1" t="s">
        <v>94</v>
      </c>
      <c r="BC22" s="3">
        <f>ROUND(BC18*BC21,3)</f>
        <v>190.64</v>
      </c>
    </row>
    <row r="23" spans="1:55" x14ac:dyDescent="0.25">
      <c r="A23" s="8" t="s">
        <v>95</v>
      </c>
      <c r="B23" s="9"/>
      <c r="C23" s="9"/>
      <c r="D23"/>
      <c r="E23"/>
      <c r="F23"/>
      <c r="G23"/>
      <c r="M23" t="s">
        <v>96</v>
      </c>
      <c r="O23" s="1">
        <v>17</v>
      </c>
      <c r="Q23" s="26" t="s">
        <v>97</v>
      </c>
      <c r="S23" s="1">
        <f>ROUND(S20*2.2*S22,3)</f>
        <v>55</v>
      </c>
      <c r="U23" s="26" t="s">
        <v>97</v>
      </c>
      <c r="W23" s="1">
        <f>ROUND(W20*2.2*W22,3)</f>
        <v>79.2</v>
      </c>
      <c r="Y23" s="26" t="s">
        <v>97</v>
      </c>
      <c r="AA23" s="1">
        <f>ROUND(AA20*2.2*AA22,3)</f>
        <v>0</v>
      </c>
      <c r="AC23" s="26" t="s">
        <v>97</v>
      </c>
      <c r="AE23" s="1">
        <f>ROUND(AE20*2.2*AE22,3)</f>
        <v>0</v>
      </c>
      <c r="AG23" s="26" t="s">
        <v>97</v>
      </c>
      <c r="AI23" s="1">
        <f>ROUND(AI20*2.2*AI22,3)</f>
        <v>0</v>
      </c>
      <c r="AW23" s="1" t="s">
        <v>87</v>
      </c>
      <c r="AY23" s="3">
        <f>ROUND(AY21*AY22,3)</f>
        <v>51.67</v>
      </c>
      <c r="BA23" t="s">
        <v>65</v>
      </c>
      <c r="BC23" s="2">
        <v>2</v>
      </c>
    </row>
    <row r="24" spans="1:55" ht="15.75" x14ac:dyDescent="0.25">
      <c r="A24" s="9" t="s">
        <v>77</v>
      </c>
      <c r="B24" s="9"/>
      <c r="C24" s="9">
        <v>11</v>
      </c>
      <c r="D24"/>
      <c r="E24"/>
      <c r="F24"/>
      <c r="G24"/>
      <c r="M24" t="s">
        <v>98</v>
      </c>
      <c r="O24" s="1">
        <f>ROUND(O23*O19,3)</f>
        <v>59.5</v>
      </c>
      <c r="Q24" s="26" t="s">
        <v>99</v>
      </c>
      <c r="S24" s="3">
        <f>ROUND(S23/C16,3)</f>
        <v>42.308</v>
      </c>
      <c r="U24" s="26" t="s">
        <v>99</v>
      </c>
      <c r="W24" s="3">
        <f>ROUND(W23/1.3,3)</f>
        <v>60.923000000000002</v>
      </c>
      <c r="Y24" s="26" t="s">
        <v>99</v>
      </c>
      <c r="AA24" s="3">
        <f>ROUND(AA23/1.3,3)</f>
        <v>0</v>
      </c>
      <c r="AC24" s="26" t="s">
        <v>99</v>
      </c>
      <c r="AE24" s="3">
        <f>ROUND(AE23/1.3,3)</f>
        <v>0</v>
      </c>
      <c r="AG24" s="26" t="s">
        <v>99</v>
      </c>
      <c r="AI24" s="3">
        <f>ROUND(AI23/1.3,3)</f>
        <v>0</v>
      </c>
      <c r="AO24" s="4" t="s">
        <v>66</v>
      </c>
      <c r="AQ24" s="3">
        <f>ROUND(((AQ11+AQ16+AQ18+AQ22+AQ20)/(C5*C8)),3)</f>
        <v>0.82399999999999995</v>
      </c>
      <c r="AS24" s="4" t="s">
        <v>66</v>
      </c>
      <c r="AU24" s="3">
        <f>ROUND(((AU11+AU16+AU18+AU22+AU20)/(C5*C8)),3)</f>
        <v>0.80900000000000005</v>
      </c>
      <c r="AW24" s="1" t="s">
        <v>91</v>
      </c>
      <c r="AY24" s="1">
        <v>40</v>
      </c>
      <c r="BA24" s="1" t="s">
        <v>68</v>
      </c>
      <c r="BC24" s="3">
        <f>ROUND(BC18*BC23*2,3)</f>
        <v>19.064</v>
      </c>
    </row>
    <row r="25" spans="1:55" x14ac:dyDescent="0.25">
      <c r="A25" s="9" t="s">
        <v>100</v>
      </c>
      <c r="B25" s="9"/>
      <c r="C25" s="9">
        <v>1.5</v>
      </c>
      <c r="D25"/>
      <c r="E25"/>
      <c r="F25"/>
      <c r="G25"/>
      <c r="M25" t="s">
        <v>101</v>
      </c>
      <c r="O25" s="3">
        <f>ROUND(O24*O15,3)</f>
        <v>381.33600000000001</v>
      </c>
      <c r="Q25" s="26" t="s">
        <v>102</v>
      </c>
      <c r="S25" s="1">
        <v>1.3</v>
      </c>
      <c r="U25" s="26" t="s">
        <v>102</v>
      </c>
      <c r="W25" s="1">
        <v>1.3</v>
      </c>
      <c r="Y25" s="26" t="s">
        <v>102</v>
      </c>
      <c r="AA25" s="1">
        <v>1.3</v>
      </c>
      <c r="AC25" s="26" t="s">
        <v>102</v>
      </c>
      <c r="AE25" s="1">
        <v>1.3</v>
      </c>
      <c r="AG25" s="26" t="s">
        <v>102</v>
      </c>
      <c r="AI25" s="1">
        <v>1.3</v>
      </c>
      <c r="AW25" s="1" t="s">
        <v>94</v>
      </c>
      <c r="AY25" s="3">
        <f>ROUND(AY21*AY24,3)</f>
        <v>206.68</v>
      </c>
    </row>
    <row r="26" spans="1:55" ht="15.75" x14ac:dyDescent="0.25">
      <c r="A26" s="9" t="s">
        <v>88</v>
      </c>
      <c r="B26" s="10"/>
      <c r="C26" s="10">
        <f>ROUND(C24/C25,3)</f>
        <v>7.3330000000000002</v>
      </c>
      <c r="D26"/>
      <c r="E26"/>
      <c r="F26"/>
      <c r="G26"/>
      <c r="Q26" s="26" t="s">
        <v>103</v>
      </c>
      <c r="S26" s="1">
        <f>ROUND(S25*S19,3)</f>
        <v>5.85</v>
      </c>
      <c r="U26" s="26" t="s">
        <v>103</v>
      </c>
      <c r="W26" s="1">
        <f>ROUND(W25*W19,3)</f>
        <v>5.2</v>
      </c>
      <c r="Y26" s="26" t="s">
        <v>103</v>
      </c>
      <c r="AA26" s="1">
        <f>ROUND(AA25*AA19,3)</f>
        <v>8.84</v>
      </c>
      <c r="AC26" s="26" t="s">
        <v>103</v>
      </c>
      <c r="AE26" s="1">
        <f>ROUND(AE25*AE19,3)</f>
        <v>9.1</v>
      </c>
      <c r="AG26" s="26" t="s">
        <v>103</v>
      </c>
      <c r="AI26" s="1">
        <f>ROUND(AI25*AI19,3)</f>
        <v>9.1</v>
      </c>
      <c r="AW26" s="1" t="s">
        <v>104</v>
      </c>
      <c r="AY26" s="3">
        <v>410</v>
      </c>
      <c r="BA26" s="4" t="s">
        <v>66</v>
      </c>
      <c r="BC26" s="3">
        <f>ROUND(((BC8+BC12+BC14+BC22+BC20+BC24)/(C5*12)),3)</f>
        <v>0.81100000000000005</v>
      </c>
    </row>
    <row r="27" spans="1:55" ht="15.75" x14ac:dyDescent="0.25">
      <c r="A27"/>
      <c r="B27"/>
      <c r="C27"/>
      <c r="D27"/>
      <c r="E27"/>
      <c r="F27"/>
      <c r="G27"/>
      <c r="M27" s="4" t="s">
        <v>66</v>
      </c>
      <c r="O27" s="3">
        <f>ROUND(((O8+O12+O17+O18+O22+O25)/($C$5*$C$8))/2,3)</f>
        <v>0.77900000000000003</v>
      </c>
      <c r="Q27" s="26" t="s">
        <v>105</v>
      </c>
      <c r="S27" s="1">
        <f>ROUND(((S20*2.2*2)+(S19*1.8))*S26,3)</f>
        <v>111.735</v>
      </c>
      <c r="U27" s="26" t="s">
        <v>105</v>
      </c>
      <c r="W27" s="1">
        <f>ROUND(((W20*2.2*2)+(W19*1.8))*W26,3)</f>
        <v>106.08</v>
      </c>
      <c r="Y27" s="26" t="s">
        <v>105</v>
      </c>
      <c r="AA27" s="1">
        <f>ROUND(((AA20*2.2*2)+(AA19*1.8))*AA26,3)</f>
        <v>108.202</v>
      </c>
      <c r="AC27" s="26" t="s">
        <v>105</v>
      </c>
      <c r="AE27" s="1">
        <f>ROUND(((AE20*2.2*2)+(AE19*1.8))*AE26,3)</f>
        <v>114.66</v>
      </c>
      <c r="AG27" s="26" t="s">
        <v>105</v>
      </c>
      <c r="AI27" s="1">
        <f>ROUND(((AI20*2.2*2)+(AI19*1.8))*AI26,3)</f>
        <v>114.66</v>
      </c>
      <c r="AW27" t="s">
        <v>65</v>
      </c>
      <c r="AY27" s="2">
        <v>2</v>
      </c>
      <c r="BC27" s="1">
        <f>BC24+BC22+BC20+BC14+BC12+BC8</f>
        <v>700.48199999999997</v>
      </c>
    </row>
    <row r="28" spans="1:55" x14ac:dyDescent="0.25">
      <c r="A28"/>
      <c r="B28"/>
      <c r="C28"/>
      <c r="D28"/>
      <c r="E28"/>
      <c r="F28"/>
      <c r="G28"/>
      <c r="O28" s="36"/>
      <c r="Q28" s="26" t="s">
        <v>106</v>
      </c>
      <c r="S28" s="28">
        <f>ROUND(S27/C16,3)</f>
        <v>85.95</v>
      </c>
      <c r="U28" s="26" t="s">
        <v>106</v>
      </c>
      <c r="W28" s="3">
        <f>ROUND(W27/1.3,3)</f>
        <v>81.599999999999994</v>
      </c>
      <c r="Y28" s="26" t="s">
        <v>106</v>
      </c>
      <c r="AA28" s="3">
        <f>ROUND(AA27/1.3,3)</f>
        <v>83.231999999999999</v>
      </c>
      <c r="AC28" s="26" t="s">
        <v>106</v>
      </c>
      <c r="AE28" s="3">
        <f>ROUND(AE27/1.3,3)</f>
        <v>88.2</v>
      </c>
      <c r="AG28" s="26" t="s">
        <v>106</v>
      </c>
      <c r="AI28" s="3">
        <f>ROUND(AI27/1.3,3)</f>
        <v>88.2</v>
      </c>
      <c r="AW28" s="1" t="s">
        <v>68</v>
      </c>
      <c r="AY28" s="3">
        <f>ROUND(AY21*AY27*2,3)</f>
        <v>20.667999999999999</v>
      </c>
    </row>
    <row r="29" spans="1:55" x14ac:dyDescent="0.25">
      <c r="A29" s="14" t="s">
        <v>107</v>
      </c>
      <c r="B29" s="15"/>
      <c r="C29" s="14">
        <f>$G$17+AM19+AQ24+BC26+$K$17+$O$27+$AI$30</f>
        <v>5.8579999999999997</v>
      </c>
      <c r="E29"/>
      <c r="F29"/>
      <c r="G29"/>
      <c r="U29" s="1" t="s">
        <v>108</v>
      </c>
    </row>
    <row r="30" spans="1:55" ht="15.75" x14ac:dyDescent="0.25">
      <c r="A30" s="14" t="s">
        <v>109</v>
      </c>
      <c r="B30" s="15"/>
      <c r="C30" s="14">
        <f>$G$17+$K$17+$O$27+$W$30</f>
        <v>3.46</v>
      </c>
      <c r="D30"/>
      <c r="E30"/>
      <c r="F30"/>
      <c r="G30"/>
      <c r="Q30" s="4" t="s">
        <v>66</v>
      </c>
      <c r="S30" s="3">
        <f>ROUND(((S8+S14+S16+S24+S28)/($C$5*$C$9)),3)</f>
        <v>0.752</v>
      </c>
      <c r="U30" s="4" t="s">
        <v>66</v>
      </c>
      <c r="W30" s="3">
        <f>ROUND(((W8+W14+W16+W24+W28)/($C$5*$C$9)),3)</f>
        <v>0.80100000000000005</v>
      </c>
      <c r="Y30" s="4" t="s">
        <v>66</v>
      </c>
      <c r="AA30" s="3">
        <f>ROUND(((AA8+AA14+AA16+AA24+AA28)/($C$5*$C$9)),3)</f>
        <v>0.879</v>
      </c>
      <c r="AC30" s="4" t="s">
        <v>66</v>
      </c>
      <c r="AE30" s="3">
        <f>ROUND(((AE8+AE14+AE16+AE24+AE28)/($C$5*$C$9)),3)</f>
        <v>0.77</v>
      </c>
      <c r="AG30" s="4" t="s">
        <v>66</v>
      </c>
      <c r="AI30" s="3">
        <f>ROUND(((AI8+AI14+AI16+AI24+AI28)/($C$5*C8)),3)</f>
        <v>0.85</v>
      </c>
      <c r="AW30" s="4" t="s">
        <v>66</v>
      </c>
      <c r="AY30" s="3">
        <f>ROUND(((AY8+AY12+AY26+AY14+AY19+AY25+AY23+AY28)/(C5*18)),3)</f>
        <v>0.98599999999999999</v>
      </c>
    </row>
    <row r="31" spans="1:55" ht="15" customHeight="1" x14ac:dyDescent="0.25">
      <c r="A31" s="14" t="s">
        <v>110</v>
      </c>
      <c r="B31" s="15"/>
      <c r="C31" s="14">
        <f>$G$17+$K$17+$O$27+$AE$30+AM19+AQ24+BC26</f>
        <v>5.7779999999999996</v>
      </c>
      <c r="D31"/>
      <c r="E31"/>
      <c r="F31"/>
      <c r="G31"/>
      <c r="S31" s="37"/>
      <c r="W31" s="37"/>
      <c r="AA31" s="37"/>
      <c r="AE31" s="37"/>
      <c r="AI31" s="37"/>
    </row>
    <row r="32" spans="1:55" ht="15" customHeight="1" x14ac:dyDescent="0.25">
      <c r="A32" s="14" t="s">
        <v>111</v>
      </c>
      <c r="B32" s="15"/>
      <c r="C32" s="14">
        <f>$G$17+$K$17+$O$27+$S$30</f>
        <v>3.4109999999999996</v>
      </c>
      <c r="D32"/>
      <c r="E32"/>
      <c r="F32"/>
      <c r="G32"/>
    </row>
    <row r="33" spans="1:7" x14ac:dyDescent="0.25">
      <c r="A33" s="14" t="s">
        <v>112</v>
      </c>
      <c r="B33" s="15"/>
      <c r="C33" s="14">
        <f>$G$17+$K$17+$O$27+$AA$30+AM19+AU24+AY30</f>
        <v>6.0469999999999997</v>
      </c>
      <c r="D33"/>
      <c r="E33"/>
      <c r="F33"/>
      <c r="G33"/>
    </row>
    <row r="34" spans="1:7" x14ac:dyDescent="0.25">
      <c r="A34"/>
      <c r="B34"/>
      <c r="C34"/>
      <c r="D34"/>
      <c r="E34"/>
      <c r="F34"/>
      <c r="G34"/>
    </row>
    <row r="35" spans="1:7" x14ac:dyDescent="0.25">
      <c r="A35"/>
      <c r="B35"/>
      <c r="C35" s="46"/>
      <c r="D35" s="46"/>
      <c r="E35" s="46"/>
      <c r="F35" s="46"/>
      <c r="G35" s="46"/>
    </row>
  </sheetData>
  <mergeCells count="17">
    <mergeCell ref="AW5:AY5"/>
    <mergeCell ref="BA5:BC5"/>
    <mergeCell ref="A1:AI2"/>
    <mergeCell ref="AK1:BC2"/>
    <mergeCell ref="E5:G5"/>
    <mergeCell ref="I5:K5"/>
    <mergeCell ref="M5:O5"/>
    <mergeCell ref="Q5:S5"/>
    <mergeCell ref="U5:W5"/>
    <mergeCell ref="Y5:AA5"/>
    <mergeCell ref="AC5:AE5"/>
    <mergeCell ref="AG5:AI5"/>
    <mergeCell ref="I13:J13"/>
    <mergeCell ref="C35:G35"/>
    <mergeCell ref="AK5:AM5"/>
    <mergeCell ref="AO5:AQ5"/>
    <mergeCell ref="AS5:AU5"/>
  </mergeCells>
  <pageMargins left="0.7" right="0.7" top="0.78740157499999996" bottom="0.78740157499999996" header="0.3" footer="0.3"/>
  <pageSetup paperSize="9" orientation="portrait" r:id="rId1"/>
  <headerFooter>
    <oddHeader>&amp;C&amp;"MS UI Gothic"&amp;10&amp;K000000•• PROTECTED 関係者外秘&amp;1#</oddHeader>
  </headerFooter>
  <cellWatches>
    <cellWatch r="C29"/>
    <cellWatch r="C30"/>
    <cellWatch r="C31"/>
    <cellWatch r="C32"/>
    <cellWatch r="C33"/>
  </cellWatch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9D726-1E52-4E8C-A709-DA89CD9D283A}">
  <sheetPr codeName="List23">
    <tabColor rgb="FFFFC000"/>
  </sheetPr>
  <dimension ref="A14:E48"/>
  <sheetViews>
    <sheetView showRuler="0" zoomScaleNormal="100" workbookViewId="0">
      <selection activeCell="W27" sqref="W27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4" x14ac:dyDescent="0.25">
      <c r="A14" s="26"/>
      <c r="B14" s="1"/>
      <c r="D14" s="1"/>
    </row>
    <row r="20" spans="1:5" x14ac:dyDescent="0.25">
      <c r="A20" t="s">
        <v>151</v>
      </c>
      <c r="D20">
        <v>26.177</v>
      </c>
      <c r="E20" s="25" t="s">
        <v>473</v>
      </c>
    </row>
    <row r="21" spans="1:5" x14ac:dyDescent="0.25">
      <c r="A21" t="s">
        <v>153</v>
      </c>
      <c r="D21">
        <v>6</v>
      </c>
      <c r="E21" t="s">
        <v>435</v>
      </c>
    </row>
    <row r="22" spans="1:5" x14ac:dyDescent="0.25">
      <c r="A22" t="s">
        <v>155</v>
      </c>
      <c r="D22">
        <v>1.3</v>
      </c>
      <c r="E22" t="s">
        <v>402</v>
      </c>
    </row>
    <row r="23" spans="1:5" x14ac:dyDescent="0.25">
      <c r="A23" s="26" t="s">
        <v>156</v>
      </c>
      <c r="B23" s="1"/>
      <c r="D23" s="1">
        <v>1.67</v>
      </c>
    </row>
    <row r="24" spans="1:5" x14ac:dyDescent="0.25">
      <c r="A24" s="26" t="s">
        <v>135</v>
      </c>
      <c r="B24" s="1"/>
      <c r="D24" s="1">
        <v>1.3</v>
      </c>
    </row>
    <row r="26" spans="1:5" x14ac:dyDescent="0.25">
      <c r="A26" s="11" t="s">
        <v>18</v>
      </c>
      <c r="B26" s="12"/>
      <c r="C26" s="12"/>
      <c r="D26" s="18"/>
    </row>
    <row r="27" spans="1:5" x14ac:dyDescent="0.25">
      <c r="A27" s="32" t="s">
        <v>117</v>
      </c>
      <c r="B27" s="12"/>
      <c r="C27" s="18"/>
      <c r="D27" s="12">
        <v>420</v>
      </c>
      <c r="E27" t="s">
        <v>436</v>
      </c>
    </row>
    <row r="28" spans="1:5" x14ac:dyDescent="0.25">
      <c r="A28" s="32" t="s">
        <v>119</v>
      </c>
      <c r="B28" s="12"/>
      <c r="C28" s="11"/>
      <c r="D28" s="19">
        <f>ROUND(D27/D23,3)</f>
        <v>251.49700000000001</v>
      </c>
      <c r="E28" t="s">
        <v>175</v>
      </c>
    </row>
    <row r="30" spans="1:5" x14ac:dyDescent="0.25">
      <c r="A30" s="23" t="s">
        <v>162</v>
      </c>
      <c r="B30" s="14"/>
      <c r="C30" s="14"/>
      <c r="D30" s="15"/>
      <c r="E30" t="s">
        <v>412</v>
      </c>
    </row>
    <row r="31" spans="1:5" x14ac:dyDescent="0.25">
      <c r="A31" s="34" t="s">
        <v>159</v>
      </c>
      <c r="B31" s="14"/>
      <c r="C31" s="15"/>
      <c r="D31" s="14">
        <f>D21*D22</f>
        <v>7.8000000000000007</v>
      </c>
      <c r="E31" t="s">
        <v>290</v>
      </c>
    </row>
    <row r="32" spans="1:5" x14ac:dyDescent="0.25">
      <c r="A32" s="15" t="s">
        <v>160</v>
      </c>
      <c r="B32" s="15"/>
      <c r="C32" s="15"/>
      <c r="D32" s="15">
        <f>ROUND(D21*1.8*D31,3)</f>
        <v>84.24</v>
      </c>
      <c r="E32" t="s">
        <v>437</v>
      </c>
    </row>
    <row r="33" spans="1:5" x14ac:dyDescent="0.25">
      <c r="A33" s="34" t="s">
        <v>137</v>
      </c>
      <c r="B33" s="14"/>
      <c r="C33" s="23"/>
      <c r="D33" s="24">
        <f>ROUND(D32/D24,3)</f>
        <v>64.8</v>
      </c>
      <c r="E33" t="s">
        <v>216</v>
      </c>
    </row>
    <row r="35" spans="1:5" x14ac:dyDescent="0.25">
      <c r="A35" s="21" t="s">
        <v>164</v>
      </c>
      <c r="B35" s="10"/>
      <c r="C35" s="10"/>
      <c r="D35" s="10"/>
      <c r="E35" t="s">
        <v>406</v>
      </c>
    </row>
    <row r="36" spans="1:5" x14ac:dyDescent="0.25">
      <c r="A36" s="33" t="s">
        <v>165</v>
      </c>
      <c r="B36" s="10"/>
      <c r="C36" s="10"/>
      <c r="D36" s="10">
        <v>9</v>
      </c>
      <c r="E36" t="s">
        <v>407</v>
      </c>
    </row>
    <row r="37" spans="1:5" x14ac:dyDescent="0.25">
      <c r="A37" s="33" t="s">
        <v>166</v>
      </c>
      <c r="B37" s="10"/>
      <c r="C37" s="10"/>
      <c r="D37" s="21">
        <f>D36*D20</f>
        <v>235.59299999999999</v>
      </c>
      <c r="E37" t="s">
        <v>291</v>
      </c>
    </row>
    <row r="39" spans="1:5" x14ac:dyDescent="0.25">
      <c r="A39" s="21" t="s">
        <v>167</v>
      </c>
      <c r="B39" s="10"/>
      <c r="C39" s="10"/>
      <c r="D39" s="10"/>
      <c r="E39" t="s">
        <v>409</v>
      </c>
    </row>
    <row r="40" spans="1:5" x14ac:dyDescent="0.25">
      <c r="A40" s="33" t="s">
        <v>168</v>
      </c>
      <c r="B40" s="10"/>
      <c r="C40" s="10"/>
      <c r="D40" s="10">
        <v>6</v>
      </c>
      <c r="E40" t="s">
        <v>108</v>
      </c>
    </row>
    <row r="41" spans="1:5" x14ac:dyDescent="0.25">
      <c r="A41" s="33" t="s">
        <v>169</v>
      </c>
      <c r="B41" s="10"/>
      <c r="C41" s="10"/>
      <c r="D41" s="21">
        <f>D40*D21</f>
        <v>36</v>
      </c>
      <c r="E41" t="s">
        <v>292</v>
      </c>
    </row>
    <row r="48" spans="1:5" ht="15.75" x14ac:dyDescent="0.25">
      <c r="A48" s="4" t="s">
        <v>66</v>
      </c>
      <c r="B48" s="1"/>
      <c r="C48" s="3">
        <f>ROUND(((D28+D33+D37+D41)/(72*10.885)),3)</f>
        <v>0.75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BA9BC-543C-4C85-B843-5829EC10209B}">
  <sheetPr codeName="List24">
    <tabColor rgb="FFFFC000"/>
  </sheetPr>
  <dimension ref="A14:F48"/>
  <sheetViews>
    <sheetView workbookViewId="0">
      <selection activeCell="O29" sqref="O29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11.688000000000001</v>
      </c>
      <c r="E14" s="25" t="s">
        <v>438</v>
      </c>
    </row>
    <row r="15" spans="1:5" x14ac:dyDescent="0.25">
      <c r="A15" t="s">
        <v>114</v>
      </c>
      <c r="D15">
        <v>1.5</v>
      </c>
      <c r="E15" t="s">
        <v>430</v>
      </c>
    </row>
    <row r="16" spans="1:5" x14ac:dyDescent="0.25">
      <c r="A16" t="s">
        <v>88</v>
      </c>
      <c r="D16">
        <f>ROUND(D14/D15,3)</f>
        <v>7.7919999999999998</v>
      </c>
      <c r="E16" t="s">
        <v>217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545.43999999999994</v>
      </c>
      <c r="E21" t="s">
        <v>299</v>
      </c>
    </row>
    <row r="22" spans="1:5" x14ac:dyDescent="0.25">
      <c r="A22" s="32" t="s">
        <v>119</v>
      </c>
      <c r="B22" s="12"/>
      <c r="C22" s="11"/>
      <c r="D22" s="19">
        <f>ROUND(D21/D17,3)</f>
        <v>294.83199999999999</v>
      </c>
      <c r="E22" t="s">
        <v>218</v>
      </c>
    </row>
    <row r="24" spans="1:5" x14ac:dyDescent="0.25">
      <c r="A24" s="21" t="s">
        <v>178</v>
      </c>
      <c r="B24" s="10"/>
      <c r="C24" s="10"/>
      <c r="D24" s="10"/>
      <c r="E24" t="s">
        <v>415</v>
      </c>
    </row>
    <row r="25" spans="1:5" x14ac:dyDescent="0.25">
      <c r="A25" s="33" t="s">
        <v>122</v>
      </c>
      <c r="B25" s="10"/>
      <c r="C25" s="10"/>
      <c r="D25" s="10">
        <v>10</v>
      </c>
    </row>
    <row r="26" spans="1:5" x14ac:dyDescent="0.25">
      <c r="A26" s="33" t="s">
        <v>123</v>
      </c>
      <c r="B26" s="10"/>
      <c r="C26" s="10"/>
      <c r="D26" s="21">
        <f>D25*D16</f>
        <v>77.92</v>
      </c>
      <c r="E26" t="s">
        <v>300</v>
      </c>
    </row>
    <row r="28" spans="1:5" x14ac:dyDescent="0.25">
      <c r="A28" s="21" t="s">
        <v>179</v>
      </c>
      <c r="B28" s="10"/>
      <c r="C28" s="10"/>
      <c r="D28" s="10"/>
      <c r="E28" t="s">
        <v>416</v>
      </c>
    </row>
    <row r="29" spans="1:5" x14ac:dyDescent="0.25">
      <c r="A29" s="33" t="s">
        <v>125</v>
      </c>
      <c r="B29" s="10"/>
      <c r="C29" s="10"/>
      <c r="D29" s="10">
        <v>15</v>
      </c>
    </row>
    <row r="30" spans="1:5" x14ac:dyDescent="0.25">
      <c r="A30" s="33" t="s">
        <v>126</v>
      </c>
      <c r="B30" s="10"/>
      <c r="C30" s="10"/>
      <c r="D30" s="21">
        <f>D29*D14</f>
        <v>175.32000000000002</v>
      </c>
      <c r="E30" t="s">
        <v>301</v>
      </c>
    </row>
    <row r="32" spans="1:5" x14ac:dyDescent="0.25">
      <c r="A32" s="21" t="s">
        <v>180</v>
      </c>
      <c r="B32" s="10"/>
      <c r="C32" s="10"/>
      <c r="D32" s="10"/>
      <c r="E32" t="s">
        <v>417</v>
      </c>
    </row>
    <row r="33" spans="1:6" x14ac:dyDescent="0.25">
      <c r="A33" s="33" t="s">
        <v>181</v>
      </c>
      <c r="B33" s="10"/>
      <c r="C33" s="10"/>
      <c r="D33" s="10">
        <v>2</v>
      </c>
    </row>
    <row r="34" spans="1:6" x14ac:dyDescent="0.25">
      <c r="A34" s="33" t="s">
        <v>182</v>
      </c>
      <c r="B34" s="10"/>
      <c r="C34" s="10"/>
      <c r="D34" s="21">
        <f>D33*D14*2</f>
        <v>46.752000000000002</v>
      </c>
      <c r="E34" t="s">
        <v>302</v>
      </c>
    </row>
    <row r="37" spans="1:6" ht="15.75" x14ac:dyDescent="0.25">
      <c r="E37" s="22"/>
    </row>
    <row r="38" spans="1:6" ht="15.75" x14ac:dyDescent="0.25">
      <c r="F38" s="22"/>
    </row>
    <row r="48" spans="1:6" ht="15.75" x14ac:dyDescent="0.25">
      <c r="A48" s="4" t="s">
        <v>66</v>
      </c>
      <c r="B48" s="1"/>
      <c r="C48" s="3">
        <f>ROUND(((D22+D26+D30+D34)/(72*10.885)),3)</f>
        <v>0.75900000000000001</v>
      </c>
    </row>
  </sheetData>
  <pageMargins left="0.19685039370078741" right="0.19685039370078741" top="0.19685039370078741" bottom="0.19685039370078741" header="0" footer="0"/>
  <pageSetup paperSize="9" scale="75" orientation="portrait" r:id="rId1"/>
  <headerFooter>
    <oddHeader>&amp;C&amp;"MS UI Gothic"&amp;10&amp;K000000•• PROTECTED 関係者外秘&amp;1#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D652-DD51-4E9B-AD01-D6CE7EA51803}">
  <sheetPr codeName="List25">
    <tabColor rgb="FFFFC000"/>
  </sheetPr>
  <dimension ref="A14:F48"/>
  <sheetViews>
    <sheetView showRuler="0" zoomScaleNormal="100" workbookViewId="0">
      <selection activeCell="W27" sqref="W27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8.0210000000000008</v>
      </c>
      <c r="E14" s="25" t="s">
        <v>439</v>
      </c>
    </row>
    <row r="15" spans="1:5" x14ac:dyDescent="0.25">
      <c r="A15" t="s">
        <v>116</v>
      </c>
      <c r="D15">
        <v>1.85</v>
      </c>
    </row>
    <row r="17" spans="1:5" x14ac:dyDescent="0.25">
      <c r="A17" s="11" t="s">
        <v>183</v>
      </c>
      <c r="B17" s="12"/>
      <c r="C17" s="12"/>
      <c r="D17" s="18"/>
      <c r="E17" t="s">
        <v>418</v>
      </c>
    </row>
    <row r="18" spans="1:5" x14ac:dyDescent="0.25">
      <c r="A18" s="32" t="s">
        <v>117</v>
      </c>
      <c r="B18" s="12"/>
      <c r="C18" s="18"/>
      <c r="D18" s="12">
        <v>30</v>
      </c>
      <c r="E18" t="s">
        <v>390</v>
      </c>
    </row>
    <row r="19" spans="1:5" x14ac:dyDescent="0.25">
      <c r="A19" s="32" t="s">
        <v>118</v>
      </c>
      <c r="B19" s="12"/>
      <c r="C19" s="18"/>
      <c r="D19" s="12">
        <f>60*D14</f>
        <v>481.26000000000005</v>
      </c>
      <c r="E19" t="s">
        <v>303</v>
      </c>
    </row>
    <row r="20" spans="1:5" x14ac:dyDescent="0.25">
      <c r="A20" s="32" t="s">
        <v>119</v>
      </c>
      <c r="B20" s="12"/>
      <c r="C20" s="11"/>
      <c r="D20" s="19">
        <f>ROUND(D19/D15,3)</f>
        <v>260.14100000000002</v>
      </c>
      <c r="E20" t="s">
        <v>440</v>
      </c>
    </row>
    <row r="22" spans="1:5" x14ac:dyDescent="0.25">
      <c r="A22" s="11" t="s">
        <v>185</v>
      </c>
      <c r="B22" s="12"/>
      <c r="C22" s="12"/>
      <c r="D22" s="18"/>
      <c r="E22" t="s">
        <v>419</v>
      </c>
    </row>
    <row r="23" spans="1:5" x14ac:dyDescent="0.25">
      <c r="A23" s="32" t="s">
        <v>117</v>
      </c>
      <c r="B23" s="12"/>
      <c r="C23" s="18"/>
      <c r="D23" s="12">
        <v>40</v>
      </c>
      <c r="E23" t="s">
        <v>420</v>
      </c>
    </row>
    <row r="24" spans="1:5" x14ac:dyDescent="0.25">
      <c r="A24" s="32" t="s">
        <v>118</v>
      </c>
      <c r="B24" s="12"/>
      <c r="C24" s="18"/>
      <c r="D24" s="12">
        <f>80*(D14/2)</f>
        <v>320.84000000000003</v>
      </c>
      <c r="E24" t="s">
        <v>304</v>
      </c>
    </row>
    <row r="25" spans="1:5" x14ac:dyDescent="0.25">
      <c r="A25" s="32" t="s">
        <v>119</v>
      </c>
      <c r="B25" s="12"/>
      <c r="C25" s="11"/>
      <c r="D25" s="19">
        <f>ROUND(D24/D15,3)</f>
        <v>173.42699999999999</v>
      </c>
      <c r="E25" t="s">
        <v>219</v>
      </c>
    </row>
    <row r="27" spans="1:5" x14ac:dyDescent="0.25">
      <c r="A27" s="21" t="s">
        <v>187</v>
      </c>
      <c r="B27" s="10"/>
      <c r="C27" s="10"/>
      <c r="D27" s="10"/>
    </row>
    <row r="28" spans="1:5" x14ac:dyDescent="0.25">
      <c r="A28" s="33" t="s">
        <v>122</v>
      </c>
      <c r="B28" s="10"/>
      <c r="C28" s="10"/>
      <c r="D28" s="10">
        <v>10</v>
      </c>
    </row>
    <row r="29" spans="1:5" x14ac:dyDescent="0.25">
      <c r="A29" s="33" t="s">
        <v>123</v>
      </c>
      <c r="B29" s="10"/>
      <c r="C29" s="10"/>
      <c r="D29" s="21">
        <f>D28*D14</f>
        <v>80.210000000000008</v>
      </c>
      <c r="E29" t="s">
        <v>305</v>
      </c>
    </row>
    <row r="31" spans="1:5" x14ac:dyDescent="0.25">
      <c r="A31" s="21" t="s">
        <v>188</v>
      </c>
      <c r="B31" s="10"/>
      <c r="C31" s="10"/>
      <c r="D31" s="10"/>
    </row>
    <row r="32" spans="1:5" x14ac:dyDescent="0.25">
      <c r="A32" s="33" t="s">
        <v>125</v>
      </c>
      <c r="B32" s="10"/>
      <c r="C32" s="10"/>
      <c r="D32" s="10">
        <v>10</v>
      </c>
    </row>
    <row r="33" spans="1:6" x14ac:dyDescent="0.25">
      <c r="A33" s="33" t="s">
        <v>126</v>
      </c>
      <c r="B33" s="10"/>
      <c r="C33" s="10"/>
      <c r="D33" s="21">
        <f>D32*D14</f>
        <v>80.210000000000008</v>
      </c>
      <c r="E33" t="s">
        <v>305</v>
      </c>
    </row>
    <row r="35" spans="1:6" x14ac:dyDescent="0.25">
      <c r="A35" s="21" t="s">
        <v>189</v>
      </c>
      <c r="B35" s="10"/>
      <c r="C35" s="10"/>
      <c r="D35" s="10"/>
    </row>
    <row r="36" spans="1:6" x14ac:dyDescent="0.25">
      <c r="A36" s="33" t="s">
        <v>125</v>
      </c>
      <c r="B36" s="10"/>
      <c r="C36" s="10"/>
      <c r="D36" s="10">
        <v>10</v>
      </c>
    </row>
    <row r="37" spans="1:6" x14ac:dyDescent="0.25">
      <c r="A37" s="33" t="s">
        <v>126</v>
      </c>
      <c r="B37" s="10"/>
      <c r="C37" s="10"/>
      <c r="D37" s="21">
        <f>D36*D14</f>
        <v>80.210000000000008</v>
      </c>
      <c r="E37" t="s">
        <v>305</v>
      </c>
    </row>
    <row r="38" spans="1:6" ht="15.75" x14ac:dyDescent="0.25">
      <c r="F38" s="22"/>
    </row>
    <row r="39" spans="1:6" x14ac:dyDescent="0.25">
      <c r="A39" s="21" t="s">
        <v>180</v>
      </c>
      <c r="B39" s="10"/>
      <c r="C39" s="10"/>
      <c r="D39" s="10"/>
      <c r="E39" t="s">
        <v>417</v>
      </c>
    </row>
    <row r="40" spans="1:6" x14ac:dyDescent="0.25">
      <c r="A40" s="33" t="s">
        <v>181</v>
      </c>
      <c r="B40" s="10"/>
      <c r="C40" s="10"/>
      <c r="D40" s="10">
        <v>2</v>
      </c>
    </row>
    <row r="41" spans="1:6" x14ac:dyDescent="0.25">
      <c r="A41" s="33" t="s">
        <v>182</v>
      </c>
      <c r="B41" s="10"/>
      <c r="C41" s="10"/>
      <c r="D41" s="21">
        <f>D40*D14*2</f>
        <v>32.084000000000003</v>
      </c>
      <c r="E41" t="s">
        <v>306</v>
      </c>
    </row>
    <row r="48" spans="1:6" ht="15.75" x14ac:dyDescent="0.25">
      <c r="A48" s="4" t="s">
        <v>66</v>
      </c>
      <c r="B48" s="1"/>
      <c r="C48" s="3">
        <f>ROUND(((D20+D25+D29+D33+D37+D41)/(72*10.885)),3)</f>
        <v>0.90100000000000002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CAFA-7872-4C6D-8146-6FFBAD47F8BE}">
  <sheetPr codeName="List26">
    <tabColor rgb="FFFFC000"/>
  </sheetPr>
  <dimension ref="A16:F53"/>
  <sheetViews>
    <sheetView showRuler="0" zoomScale="85" zoomScaleNormal="85" workbookViewId="0">
      <selection activeCell="W27" sqref="W27"/>
    </sheetView>
  </sheetViews>
  <sheetFormatPr defaultRowHeight="15" x14ac:dyDescent="0.25"/>
  <cols>
    <col min="3" max="3" width="9.7109375" customWidth="1"/>
    <col min="4" max="4" width="9.140625" customWidth="1"/>
    <col min="5" max="5" width="9.28515625" customWidth="1"/>
  </cols>
  <sheetData>
    <row r="16" spans="1:5" x14ac:dyDescent="0.25">
      <c r="A16" t="s">
        <v>113</v>
      </c>
      <c r="D16">
        <v>5.5229999999999997</v>
      </c>
      <c r="E16" s="25" t="s">
        <v>441</v>
      </c>
    </row>
    <row r="17" spans="1:5" x14ac:dyDescent="0.25">
      <c r="A17" s="26" t="s">
        <v>156</v>
      </c>
      <c r="B17" s="1"/>
      <c r="D17" s="1">
        <v>1.67</v>
      </c>
    </row>
    <row r="18" spans="1:5" x14ac:dyDescent="0.25">
      <c r="A18" s="26" t="s">
        <v>135</v>
      </c>
      <c r="B18" s="1"/>
      <c r="D18" s="1">
        <v>1.3</v>
      </c>
    </row>
    <row r="20" spans="1:5" x14ac:dyDescent="0.25">
      <c r="A20" s="11" t="s">
        <v>190</v>
      </c>
      <c r="B20" s="12"/>
      <c r="C20" s="12"/>
      <c r="D20" s="18"/>
    </row>
    <row r="21" spans="1:5" x14ac:dyDescent="0.25">
      <c r="A21" s="32" t="s">
        <v>117</v>
      </c>
      <c r="B21" s="12"/>
      <c r="C21" s="18"/>
      <c r="D21" s="12">
        <v>582</v>
      </c>
    </row>
    <row r="22" spans="1:5" x14ac:dyDescent="0.25">
      <c r="A22" s="32" t="s">
        <v>119</v>
      </c>
      <c r="B22" s="12"/>
      <c r="C22" s="11"/>
      <c r="D22" s="19">
        <f>ROUND(D21/D17,3)</f>
        <v>348.50299999999999</v>
      </c>
      <c r="E22" t="s">
        <v>208</v>
      </c>
    </row>
    <row r="24" spans="1:5" x14ac:dyDescent="0.25">
      <c r="A24" s="23" t="s">
        <v>192</v>
      </c>
      <c r="B24" s="14"/>
      <c r="C24" s="14"/>
      <c r="D24" s="15"/>
      <c r="E24" t="s">
        <v>421</v>
      </c>
    </row>
    <row r="25" spans="1:5" x14ac:dyDescent="0.25">
      <c r="A25" s="34" t="s">
        <v>117</v>
      </c>
      <c r="B25" s="14"/>
      <c r="C25" s="15"/>
      <c r="D25" s="14">
        <v>27</v>
      </c>
    </row>
    <row r="26" spans="1:5" x14ac:dyDescent="0.25">
      <c r="A26" s="34" t="s">
        <v>119</v>
      </c>
      <c r="B26" s="14"/>
      <c r="C26" s="23"/>
      <c r="D26" s="24">
        <f>ROUND(D25/D18,3)</f>
        <v>20.768999999999998</v>
      </c>
      <c r="E26" t="s">
        <v>209</v>
      </c>
    </row>
    <row r="28" spans="1:5" x14ac:dyDescent="0.25">
      <c r="A28" s="23" t="s">
        <v>194</v>
      </c>
      <c r="B28" s="14"/>
      <c r="C28" s="14"/>
      <c r="D28" s="15"/>
      <c r="E28" t="s">
        <v>422</v>
      </c>
    </row>
    <row r="29" spans="1:5" x14ac:dyDescent="0.25">
      <c r="A29" s="34" t="s">
        <v>117</v>
      </c>
      <c r="B29" s="14"/>
      <c r="C29" s="15"/>
      <c r="D29" s="14">
        <v>96</v>
      </c>
    </row>
    <row r="30" spans="1:5" x14ac:dyDescent="0.25">
      <c r="A30" s="34" t="s">
        <v>119</v>
      </c>
      <c r="B30" s="14"/>
      <c r="C30" s="23"/>
      <c r="D30" s="24">
        <f>ROUND(D29/D18,3)</f>
        <v>73.846000000000004</v>
      </c>
      <c r="E30" t="s">
        <v>210</v>
      </c>
    </row>
    <row r="32" spans="1:5" x14ac:dyDescent="0.25">
      <c r="A32" s="21" t="s">
        <v>202</v>
      </c>
      <c r="B32" s="10"/>
      <c r="C32" s="10"/>
      <c r="D32" s="10"/>
      <c r="E32" t="s">
        <v>426</v>
      </c>
    </row>
    <row r="33" spans="1:6" x14ac:dyDescent="0.25">
      <c r="A33" s="33" t="s">
        <v>203</v>
      </c>
      <c r="B33" s="10"/>
      <c r="C33" s="10"/>
      <c r="D33" s="10">
        <v>10</v>
      </c>
    </row>
    <row r="34" spans="1:6" ht="15.75" x14ac:dyDescent="0.25">
      <c r="A34" s="33" t="s">
        <v>204</v>
      </c>
      <c r="B34" s="10"/>
      <c r="C34" s="10"/>
      <c r="D34" s="21">
        <f>D33*D16</f>
        <v>55.23</v>
      </c>
      <c r="E34" t="s">
        <v>307</v>
      </c>
      <c r="F34" s="22"/>
    </row>
    <row r="36" spans="1:6" x14ac:dyDescent="0.25">
      <c r="A36" s="21" t="s">
        <v>205</v>
      </c>
      <c r="B36" s="10"/>
      <c r="C36" s="10"/>
      <c r="D36" s="10"/>
      <c r="E36" t="s">
        <v>427</v>
      </c>
    </row>
    <row r="37" spans="1:6" x14ac:dyDescent="0.25">
      <c r="A37" s="33" t="s">
        <v>206</v>
      </c>
      <c r="B37" s="10"/>
      <c r="C37" s="10"/>
      <c r="D37" s="10">
        <v>40</v>
      </c>
    </row>
    <row r="38" spans="1:6" x14ac:dyDescent="0.25">
      <c r="A38" s="33" t="s">
        <v>207</v>
      </c>
      <c r="B38" s="10"/>
      <c r="C38" s="10"/>
      <c r="D38" s="21">
        <f>D37*D16</f>
        <v>220.92</v>
      </c>
      <c r="E38" t="s">
        <v>308</v>
      </c>
    </row>
    <row r="40" spans="1:6" x14ac:dyDescent="0.25">
      <c r="A40" s="21" t="s">
        <v>180</v>
      </c>
      <c r="B40" s="10"/>
      <c r="C40" s="10"/>
      <c r="D40" s="10"/>
      <c r="E40" t="s">
        <v>417</v>
      </c>
    </row>
    <row r="41" spans="1:6" x14ac:dyDescent="0.25">
      <c r="A41" s="33" t="s">
        <v>181</v>
      </c>
      <c r="B41" s="10"/>
      <c r="C41" s="10"/>
      <c r="D41" s="10">
        <v>2</v>
      </c>
    </row>
    <row r="42" spans="1:6" x14ac:dyDescent="0.25">
      <c r="A42" s="33" t="s">
        <v>182</v>
      </c>
      <c r="B42" s="10"/>
      <c r="C42" s="10"/>
      <c r="D42" s="21">
        <f>D41*D16*2</f>
        <v>22.091999999999999</v>
      </c>
      <c r="E42" t="s">
        <v>309</v>
      </c>
    </row>
    <row r="53" spans="1:3" ht="15.75" x14ac:dyDescent="0.25">
      <c r="A53" s="4" t="s">
        <v>66</v>
      </c>
      <c r="B53" s="1"/>
      <c r="C53" s="3">
        <f>ROUND(((D22+D26+D30+D38+D42+D34)/(72*12)),3)</f>
        <v>0.85799999999999998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743EF-6328-4EB7-B372-B1C0CFBFB8F9}">
  <sheetPr codeName="List6">
    <tabColor theme="0"/>
  </sheetPr>
  <dimension ref="A1:BU35"/>
  <sheetViews>
    <sheetView workbookViewId="0">
      <pane xSplit="3" ySplit="2" topLeftCell="D3" activePane="bottomRight" state="frozen"/>
      <selection pane="topRight" activeCell="K33" sqref="K33"/>
      <selection pane="bottomLeft" activeCell="K33" sqref="K33"/>
      <selection pane="bottomRight" activeCell="T11" sqref="T11"/>
    </sheetView>
  </sheetViews>
  <sheetFormatPr defaultColWidth="9.140625" defaultRowHeight="15" x14ac:dyDescent="0.25"/>
  <cols>
    <col min="1" max="1" width="17.28515625" style="1" bestFit="1" customWidth="1"/>
    <col min="2" max="5" width="9.140625" style="1"/>
    <col min="6" max="6" width="14.42578125" style="1" customWidth="1"/>
    <col min="7" max="9" width="9.140625" style="1"/>
    <col min="10" max="10" width="14.28515625" style="1" customWidth="1"/>
    <col min="11" max="13" width="9.140625" style="1"/>
    <col min="14" max="14" width="15.5703125" style="1" customWidth="1"/>
    <col min="15" max="15" width="9.140625" style="1"/>
    <col min="16" max="16" width="9" style="1" customWidth="1"/>
    <col min="17" max="17" width="9.140625" style="1"/>
    <col min="18" max="18" width="15.5703125" style="1" customWidth="1"/>
    <col min="19" max="21" width="9.140625" style="1"/>
    <col min="22" max="22" width="15.42578125" style="1" customWidth="1"/>
    <col min="23" max="25" width="9.140625" style="1"/>
    <col min="26" max="26" width="12.5703125" style="1" customWidth="1"/>
    <col min="27" max="29" width="9.140625" style="1"/>
    <col min="30" max="30" width="13.140625" style="1" customWidth="1"/>
    <col min="31" max="33" width="9.140625" style="1"/>
    <col min="34" max="34" width="14.28515625" style="1" customWidth="1"/>
    <col min="35" max="35" width="9.42578125" style="1" customWidth="1"/>
    <col min="36" max="37" width="9.140625" style="1"/>
    <col min="38" max="38" width="14.85546875" style="1" customWidth="1"/>
    <col min="39" max="49" width="9.140625" style="1"/>
    <col min="50" max="50" width="12.85546875" style="1" customWidth="1"/>
    <col min="51" max="59" width="9.140625" style="1"/>
    <col min="60" max="60" width="16.5703125" style="1" bestFit="1" customWidth="1"/>
    <col min="61" max="16384" width="9.140625" style="1"/>
  </cols>
  <sheetData>
    <row r="1" spans="1:73" ht="15" customHeight="1" x14ac:dyDescent="0.2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</row>
    <row r="2" spans="1:73" ht="15" customHeight="1" x14ac:dyDescent="0.2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</row>
    <row r="3" spans="1:73" x14ac:dyDescent="0.25">
      <c r="G3" s="35"/>
      <c r="K3" s="35"/>
      <c r="S3" s="35"/>
    </row>
    <row r="4" spans="1:73" ht="15" customHeight="1" x14ac:dyDescent="0.25">
      <c r="A4" s="1" t="s">
        <v>2</v>
      </c>
      <c r="C4" s="1">
        <v>79200</v>
      </c>
    </row>
    <row r="5" spans="1:73" ht="15" customHeight="1" x14ac:dyDescent="0.25">
      <c r="A5" s="1" t="s">
        <v>3</v>
      </c>
      <c r="C5" s="1">
        <v>72</v>
      </c>
      <c r="F5" s="47" t="s">
        <v>4</v>
      </c>
      <c r="G5" s="47"/>
      <c r="H5" s="47"/>
      <c r="J5" s="47" t="s">
        <v>5</v>
      </c>
      <c r="K5" s="47"/>
      <c r="L5" s="47"/>
      <c r="N5" s="47" t="s">
        <v>6</v>
      </c>
      <c r="O5" s="47"/>
      <c r="P5" s="47"/>
      <c r="R5" s="47" t="s">
        <v>8</v>
      </c>
      <c r="S5" s="47"/>
      <c r="T5" s="47"/>
      <c r="Z5" s="47"/>
      <c r="AA5" s="47"/>
      <c r="AB5" s="47"/>
      <c r="AD5" s="47"/>
      <c r="AE5" s="47"/>
      <c r="AF5" s="47"/>
      <c r="AH5" s="47"/>
      <c r="AI5" s="47"/>
      <c r="AJ5" s="47"/>
      <c r="AL5" s="47"/>
      <c r="AM5" s="47"/>
      <c r="AN5" s="47"/>
      <c r="AP5" s="47"/>
      <c r="AQ5" s="47"/>
      <c r="AR5" s="47"/>
      <c r="AT5" s="47"/>
      <c r="AU5" s="47"/>
      <c r="AV5" s="47"/>
      <c r="AX5" s="47"/>
      <c r="AY5" s="47"/>
      <c r="AZ5" s="47"/>
      <c r="BB5" s="47"/>
      <c r="BC5" s="47"/>
      <c r="BD5" s="47"/>
      <c r="BF5" s="47"/>
      <c r="BG5" s="47"/>
      <c r="BH5" s="47"/>
    </row>
    <row r="6" spans="1:73" ht="15" customHeight="1" x14ac:dyDescent="0.25">
      <c r="A6" s="1" t="s">
        <v>17</v>
      </c>
      <c r="C6" s="1">
        <v>96</v>
      </c>
      <c r="F6" s="3" t="s">
        <v>18</v>
      </c>
      <c r="J6" s="3" t="s">
        <v>18</v>
      </c>
      <c r="N6" s="3" t="s">
        <v>19</v>
      </c>
      <c r="R6" s="3" t="s">
        <v>18</v>
      </c>
      <c r="Z6" s="3"/>
      <c r="AD6" s="3"/>
      <c r="AH6" s="3"/>
      <c r="AL6" s="3"/>
      <c r="AP6" s="3"/>
      <c r="AT6" s="3"/>
      <c r="AX6" s="3"/>
      <c r="BB6" s="3"/>
      <c r="BF6" s="3"/>
    </row>
    <row r="7" spans="1:73" ht="15" customHeight="1" x14ac:dyDescent="0.25">
      <c r="A7" s="1" t="s">
        <v>20</v>
      </c>
      <c r="C7" s="1">
        <v>1045</v>
      </c>
      <c r="F7" s="1" t="s">
        <v>21</v>
      </c>
      <c r="H7" s="1">
        <v>70</v>
      </c>
      <c r="J7" s="1" t="s">
        <v>21</v>
      </c>
      <c r="L7" s="1">
        <v>60</v>
      </c>
      <c r="N7" s="1" t="s">
        <v>22</v>
      </c>
      <c r="P7" s="1">
        <v>40</v>
      </c>
      <c r="R7" s="1" t="s">
        <v>21</v>
      </c>
      <c r="T7" s="1">
        <v>700</v>
      </c>
    </row>
    <row r="8" spans="1:73" ht="15" customHeight="1" x14ac:dyDescent="0.25">
      <c r="A8" s="1" t="s">
        <v>24</v>
      </c>
      <c r="C8" s="1">
        <f>ROUND(C7/C6,3)</f>
        <v>10.885</v>
      </c>
      <c r="F8" s="1" t="s">
        <v>25</v>
      </c>
      <c r="H8" s="1">
        <f>ROUND(H7*C21,3)</f>
        <v>1744.54</v>
      </c>
      <c r="J8" s="1" t="s">
        <v>25</v>
      </c>
      <c r="L8" s="1">
        <f>ROUND(L7*C21,3)</f>
        <v>1495.32</v>
      </c>
      <c r="N8" s="1" t="s">
        <v>26</v>
      </c>
      <c r="P8" s="3">
        <f>ROUND(P7/C16,3)</f>
        <v>30.768999999999998</v>
      </c>
      <c r="R8" s="1" t="s">
        <v>27</v>
      </c>
      <c r="T8" s="3">
        <f>ROUND(T7/C15,3)</f>
        <v>419.16199999999998</v>
      </c>
      <c r="AB8" s="3"/>
      <c r="AF8" s="3"/>
      <c r="AJ8" s="3"/>
      <c r="AZ8" s="3"/>
      <c r="BD8" s="3"/>
      <c r="BH8" s="3"/>
    </row>
    <row r="9" spans="1:73" x14ac:dyDescent="0.25">
      <c r="A9" s="1" t="s">
        <v>29</v>
      </c>
      <c r="C9" s="1">
        <f>ROUND(C7/48,3)</f>
        <v>21.771000000000001</v>
      </c>
      <c r="F9" s="1" t="s">
        <v>27</v>
      </c>
      <c r="H9" s="3">
        <f>ROUND(H8/C14,3)</f>
        <v>942.995</v>
      </c>
      <c r="J9" s="1" t="s">
        <v>27</v>
      </c>
      <c r="L9" s="3">
        <f>ROUND(L8/C14,3)</f>
        <v>808.28099999999995</v>
      </c>
      <c r="N9" s="1" t="s">
        <v>30</v>
      </c>
      <c r="P9" s="1">
        <v>16</v>
      </c>
      <c r="T9" s="3"/>
      <c r="AB9" s="3"/>
      <c r="AF9" s="3"/>
      <c r="AJ9" s="3"/>
      <c r="AN9" s="3"/>
    </row>
    <row r="10" spans="1:73" x14ac:dyDescent="0.25">
      <c r="A10" s="1" t="s">
        <v>32</v>
      </c>
      <c r="C10" s="1">
        <f>ROUND(C7/24,3)</f>
        <v>43.542000000000002</v>
      </c>
      <c r="N10" s="1" t="s">
        <v>33</v>
      </c>
      <c r="P10" s="1">
        <f>ROUND(P9/C16,3)</f>
        <v>12.308</v>
      </c>
      <c r="R10" s="3" t="s">
        <v>34</v>
      </c>
      <c r="Z10" s="3"/>
      <c r="AD10" s="3"/>
      <c r="AH10" s="3"/>
      <c r="AX10" s="3"/>
      <c r="BB10" s="3"/>
      <c r="BF10" s="3"/>
    </row>
    <row r="11" spans="1:73" x14ac:dyDescent="0.25">
      <c r="A11" s="1" t="s">
        <v>36</v>
      </c>
      <c r="C11" s="1">
        <f>ROUND(C7/18,3)</f>
        <v>58.055999999999997</v>
      </c>
      <c r="F11" s="3" t="s">
        <v>34</v>
      </c>
      <c r="J11" s="3" t="s">
        <v>34</v>
      </c>
      <c r="N11" s="1" t="s">
        <v>37</v>
      </c>
      <c r="P11" s="1">
        <f>ROUND(P10*P19,3)</f>
        <v>41.847000000000001</v>
      </c>
      <c r="R11" s="1" t="s">
        <v>38</v>
      </c>
      <c r="T11" s="16">
        <v>3585</v>
      </c>
      <c r="AL11" s="3"/>
      <c r="AR11" s="3"/>
      <c r="AV11" s="3"/>
    </row>
    <row r="12" spans="1:73" x14ac:dyDescent="0.25">
      <c r="A12" s="1" t="s">
        <v>40</v>
      </c>
      <c r="C12" s="1">
        <f>ROUND(C7/12,3)</f>
        <v>87.082999999999998</v>
      </c>
      <c r="F12" s="1" t="s">
        <v>41</v>
      </c>
      <c r="H12" s="1">
        <v>12</v>
      </c>
      <c r="J12" t="s">
        <v>42</v>
      </c>
      <c r="K12"/>
      <c r="L12" s="1">
        <v>7</v>
      </c>
      <c r="N12" s="1" t="s">
        <v>43</v>
      </c>
      <c r="P12" s="3">
        <f>ROUND(P11*P15,3)</f>
        <v>268.197</v>
      </c>
      <c r="R12" s="1" t="s">
        <v>44</v>
      </c>
      <c r="T12" s="1">
        <f>ROUND(T11/48,3)</f>
        <v>74.688000000000002</v>
      </c>
      <c r="AL12"/>
      <c r="AM12"/>
      <c r="AN12"/>
      <c r="AO12"/>
      <c r="AZ12" s="3"/>
      <c r="BD12" s="3"/>
      <c r="BH12" s="3"/>
    </row>
    <row r="13" spans="1:73" x14ac:dyDescent="0.25">
      <c r="F13" s="1" t="s">
        <v>47</v>
      </c>
      <c r="H13" s="3">
        <f>ROUND(H12*C21,3)</f>
        <v>299.06400000000002</v>
      </c>
      <c r="J13" s="45" t="s">
        <v>47</v>
      </c>
      <c r="K13" s="45"/>
      <c r="L13" s="3">
        <f>ROUND(L12*C21,3)</f>
        <v>174.45400000000001</v>
      </c>
      <c r="R13" s="1" t="s">
        <v>48</v>
      </c>
      <c r="S13"/>
      <c r="T13" s="2">
        <v>9</v>
      </c>
      <c r="AA13"/>
      <c r="AB13" s="3"/>
      <c r="AE13"/>
      <c r="AF13" s="3"/>
      <c r="AI13"/>
      <c r="AJ13" s="3"/>
      <c r="AL13" s="5"/>
      <c r="AM13" s="5"/>
      <c r="AN13" s="13"/>
      <c r="AO13"/>
      <c r="AP13" s="3"/>
      <c r="AT13" s="3"/>
    </row>
    <row r="14" spans="1:73" x14ac:dyDescent="0.25">
      <c r="A14" s="1" t="s">
        <v>50</v>
      </c>
      <c r="C14" s="1">
        <v>1.85</v>
      </c>
      <c r="F14" s="1" t="s">
        <v>51</v>
      </c>
      <c r="H14" s="1">
        <v>20</v>
      </c>
      <c r="J14" t="s">
        <v>52</v>
      </c>
      <c r="K14"/>
      <c r="L14" s="1">
        <v>12</v>
      </c>
      <c r="N14" s="3" t="s">
        <v>34</v>
      </c>
      <c r="R14" s="5" t="s">
        <v>53</v>
      </c>
      <c r="S14" s="5"/>
      <c r="T14" s="3">
        <f>ROUND(T13*T12,3)</f>
        <v>672.19200000000001</v>
      </c>
      <c r="Z14" s="5"/>
      <c r="AA14" s="5"/>
      <c r="AB14" s="3"/>
      <c r="AD14" s="5"/>
      <c r="AE14" s="5"/>
      <c r="AF14" s="3"/>
      <c r="AH14" s="5"/>
      <c r="AI14" s="5"/>
      <c r="AJ14" s="3"/>
      <c r="AL14"/>
      <c r="AM14"/>
      <c r="AN14"/>
      <c r="AO14"/>
      <c r="AP14"/>
      <c r="AQ14"/>
      <c r="AR14"/>
      <c r="AT14"/>
      <c r="AU14"/>
      <c r="AV14"/>
      <c r="AZ14" s="3"/>
      <c r="BD14" s="3"/>
      <c r="BH14" s="3"/>
    </row>
    <row r="15" spans="1:73" x14ac:dyDescent="0.25">
      <c r="A15" s="1" t="s">
        <v>56</v>
      </c>
      <c r="C15" s="1">
        <v>1.67</v>
      </c>
      <c r="F15" s="1" t="s">
        <v>57</v>
      </c>
      <c r="H15" s="3">
        <f>ROUND(H14*C19,3)</f>
        <v>897.2</v>
      </c>
      <c r="J15" t="s">
        <v>57</v>
      </c>
      <c r="K15"/>
      <c r="L15" s="3">
        <f>ROUND(L14*C19,3)</f>
        <v>538.32000000000005</v>
      </c>
      <c r="N15" s="1" t="s">
        <v>59</v>
      </c>
      <c r="P15" s="1">
        <f>ROUND(C19/7,3)</f>
        <v>6.4089999999999998</v>
      </c>
      <c r="R15" s="1" t="s">
        <v>60</v>
      </c>
      <c r="S15"/>
      <c r="T15" s="1">
        <v>6</v>
      </c>
      <c r="AL15"/>
      <c r="AM15"/>
      <c r="AN15" s="13"/>
      <c r="AO15"/>
      <c r="AQ15" s="5"/>
      <c r="AR15"/>
      <c r="AU15" s="5"/>
      <c r="AV15"/>
    </row>
    <row r="16" spans="1:73" x14ac:dyDescent="0.25">
      <c r="A16" s="1" t="s">
        <v>62</v>
      </c>
      <c r="C16" s="1">
        <v>1.3</v>
      </c>
      <c r="N16" t="s">
        <v>63</v>
      </c>
      <c r="P16" s="1">
        <v>55</v>
      </c>
      <c r="R16" s="1" t="s">
        <v>64</v>
      </c>
      <c r="S16"/>
      <c r="T16" s="7">
        <f>ROUND(T15*T19,3)</f>
        <v>24</v>
      </c>
      <c r="AA16"/>
      <c r="AE16"/>
      <c r="AI16"/>
      <c r="AL16"/>
      <c r="AM16"/>
      <c r="AN16"/>
      <c r="AO16"/>
      <c r="AP16" s="5"/>
      <c r="AQ16"/>
      <c r="AR16" s="13"/>
      <c r="AT16" s="5"/>
      <c r="AU16"/>
      <c r="AV16" s="13"/>
      <c r="AX16" s="3"/>
      <c r="AZ16" s="3"/>
      <c r="BB16" s="3"/>
      <c r="BD16" s="3"/>
      <c r="BF16" s="3"/>
      <c r="BH16" s="3"/>
    </row>
    <row r="17" spans="1:60" ht="15.75" x14ac:dyDescent="0.25">
      <c r="F17" s="4" t="s">
        <v>66</v>
      </c>
      <c r="H17" s="3">
        <f>ROUND(((H9+H13+H15)/(C5*C8))/3,3)</f>
        <v>0.91</v>
      </c>
      <c r="J17" s="4" t="s">
        <v>66</v>
      </c>
      <c r="L17" s="3">
        <f>ROUND(((L9+L13+L15)/(C5*C8))/2,3)</f>
        <v>0.97</v>
      </c>
      <c r="N17" s="1" t="s">
        <v>67</v>
      </c>
      <c r="O17"/>
      <c r="P17" s="3">
        <f>ROUND(P16*P15,3)</f>
        <v>352.495</v>
      </c>
      <c r="AA17"/>
      <c r="AB17" s="7"/>
      <c r="AE17"/>
      <c r="AF17" s="7"/>
      <c r="AI17"/>
      <c r="AJ17" s="7"/>
      <c r="AN17" s="3"/>
      <c r="AP17"/>
      <c r="AQ17"/>
      <c r="AR17"/>
      <c r="AT17"/>
      <c r="AU17"/>
      <c r="AV17"/>
    </row>
    <row r="18" spans="1:60" x14ac:dyDescent="0.25">
      <c r="A18" s="11" t="s">
        <v>72</v>
      </c>
      <c r="B18" s="12"/>
      <c r="C18" s="12"/>
      <c r="N18" s="5" t="s">
        <v>73</v>
      </c>
      <c r="O18" s="5"/>
      <c r="P18" s="3">
        <v>90</v>
      </c>
      <c r="R18" s="3" t="s">
        <v>19</v>
      </c>
      <c r="AP18"/>
      <c r="AQ18"/>
      <c r="AR18" s="13"/>
      <c r="AT18"/>
      <c r="AU18"/>
      <c r="AV18" s="13"/>
    </row>
    <row r="19" spans="1:60" ht="15.75" x14ac:dyDescent="0.25">
      <c r="A19" s="12" t="s">
        <v>77</v>
      </c>
      <c r="B19" s="12"/>
      <c r="C19" s="12">
        <v>44.86</v>
      </c>
      <c r="N19" s="1" t="s">
        <v>78</v>
      </c>
      <c r="P19" s="1">
        <v>3.4</v>
      </c>
      <c r="R19" s="26" t="s">
        <v>79</v>
      </c>
      <c r="T19" s="1">
        <v>4</v>
      </c>
      <c r="Z19" s="3"/>
      <c r="AD19" s="3"/>
      <c r="AH19" s="3"/>
      <c r="AL19" s="4"/>
      <c r="AN19" s="3"/>
      <c r="AP19"/>
      <c r="AQ19"/>
      <c r="AR19"/>
      <c r="AT19"/>
      <c r="AU19"/>
      <c r="AV19"/>
      <c r="AZ19" s="3"/>
      <c r="BD19" s="3"/>
    </row>
    <row r="20" spans="1:60" ht="15" customHeight="1" x14ac:dyDescent="0.25">
      <c r="A20" s="12" t="s">
        <v>83</v>
      </c>
      <c r="B20" s="12"/>
      <c r="C20" s="12">
        <v>1.8</v>
      </c>
      <c r="D20"/>
      <c r="E20"/>
      <c r="F20"/>
      <c r="G20"/>
      <c r="H20"/>
      <c r="N20" t="s">
        <v>84</v>
      </c>
      <c r="O20"/>
      <c r="P20">
        <v>4</v>
      </c>
      <c r="R20" s="26" t="s">
        <v>85</v>
      </c>
      <c r="T20" s="3">
        <v>3</v>
      </c>
      <c r="AP20"/>
      <c r="AQ20"/>
      <c r="AR20" s="13"/>
      <c r="AT20"/>
      <c r="AU20"/>
      <c r="AV20" s="13"/>
      <c r="BH20" s="3"/>
    </row>
    <row r="21" spans="1:60" ht="15" customHeight="1" x14ac:dyDescent="0.25">
      <c r="A21" s="12" t="s">
        <v>88</v>
      </c>
      <c r="B21" s="12"/>
      <c r="C21" s="12">
        <f>ROUND(C19/C20,3)</f>
        <v>24.922000000000001</v>
      </c>
      <c r="D21"/>
      <c r="E21"/>
      <c r="F21"/>
      <c r="G21"/>
      <c r="H21"/>
      <c r="N21" t="s">
        <v>89</v>
      </c>
      <c r="O21"/>
      <c r="P21" s="6">
        <f>P20*P19</f>
        <v>13.6</v>
      </c>
      <c r="R21" s="26" t="s">
        <v>90</v>
      </c>
      <c r="T21" s="1">
        <v>4</v>
      </c>
      <c r="AP21"/>
      <c r="AR21" s="2"/>
      <c r="AT21"/>
      <c r="AV21" s="2"/>
    </row>
    <row r="22" spans="1:60" x14ac:dyDescent="0.25">
      <c r="D22"/>
      <c r="E22"/>
      <c r="F22"/>
      <c r="G22"/>
      <c r="H22"/>
      <c r="N22" t="s">
        <v>92</v>
      </c>
      <c r="O22"/>
      <c r="P22" s="7">
        <f>P21*P15</f>
        <v>87.162399999999991</v>
      </c>
      <c r="R22" s="26" t="s">
        <v>93</v>
      </c>
      <c r="T22" s="1">
        <f>T20*T21</f>
        <v>12</v>
      </c>
      <c r="AR22" s="3"/>
      <c r="AV22" s="3"/>
      <c r="BH22" s="3"/>
    </row>
    <row r="23" spans="1:60" x14ac:dyDescent="0.25">
      <c r="A23" s="8" t="s">
        <v>95</v>
      </c>
      <c r="B23" s="9"/>
      <c r="C23" s="9"/>
      <c r="D23"/>
      <c r="E23"/>
      <c r="F23"/>
      <c r="G23"/>
      <c r="H23"/>
      <c r="N23" t="s">
        <v>96</v>
      </c>
      <c r="P23" s="1">
        <v>17</v>
      </c>
      <c r="R23" s="26" t="s">
        <v>97</v>
      </c>
      <c r="T23" s="1">
        <f>ROUND(T20*2.2*T22,3)</f>
        <v>79.2</v>
      </c>
      <c r="AZ23" s="3"/>
      <c r="BD23" s="3"/>
      <c r="BF23"/>
      <c r="BH23" s="2"/>
    </row>
    <row r="24" spans="1:60" ht="15.75" x14ac:dyDescent="0.25">
      <c r="A24" s="9" t="s">
        <v>77</v>
      </c>
      <c r="B24" s="9"/>
      <c r="C24" s="9">
        <v>11</v>
      </c>
      <c r="D24"/>
      <c r="E24"/>
      <c r="F24"/>
      <c r="G24"/>
      <c r="H24"/>
      <c r="N24" t="s">
        <v>98</v>
      </c>
      <c r="P24" s="1">
        <f>ROUND(P23*P19,3)</f>
        <v>57.8</v>
      </c>
      <c r="R24" s="26" t="s">
        <v>99</v>
      </c>
      <c r="T24" s="3">
        <f>ROUND(T23/1.3,3)</f>
        <v>60.923000000000002</v>
      </c>
      <c r="AP24" s="4"/>
      <c r="AR24" s="3"/>
      <c r="AT24" s="4"/>
      <c r="AV24" s="3"/>
      <c r="BH24" s="3"/>
    </row>
    <row r="25" spans="1:60" x14ac:dyDescent="0.25">
      <c r="A25" s="9" t="s">
        <v>100</v>
      </c>
      <c r="B25" s="9"/>
      <c r="C25" s="9">
        <v>1.5</v>
      </c>
      <c r="D25"/>
      <c r="E25"/>
      <c r="F25"/>
      <c r="G25"/>
      <c r="H25"/>
      <c r="N25" t="s">
        <v>101</v>
      </c>
      <c r="P25" s="3">
        <f>ROUND(P24*P15,3)</f>
        <v>370.44</v>
      </c>
      <c r="R25" s="26" t="s">
        <v>102</v>
      </c>
      <c r="T25" s="1">
        <v>1.3</v>
      </c>
      <c r="AZ25" s="3"/>
      <c r="BD25" s="3"/>
    </row>
    <row r="26" spans="1:60" ht="15.75" x14ac:dyDescent="0.25">
      <c r="A26" s="9" t="s">
        <v>88</v>
      </c>
      <c r="B26" s="10"/>
      <c r="C26" s="10">
        <f>ROUND(C24/C25,3)</f>
        <v>7.3330000000000002</v>
      </c>
      <c r="D26"/>
      <c r="E26"/>
      <c r="F26"/>
      <c r="G26"/>
      <c r="H26"/>
      <c r="R26" s="26" t="s">
        <v>103</v>
      </c>
      <c r="T26" s="1">
        <f>ROUND(T25*T19,3)</f>
        <v>5.2</v>
      </c>
      <c r="AZ26" s="3"/>
      <c r="BD26" s="3"/>
      <c r="BF26" s="4"/>
      <c r="BH26" s="3"/>
    </row>
    <row r="27" spans="1:60" ht="15.75" x14ac:dyDescent="0.25">
      <c r="A27"/>
      <c r="B27"/>
      <c r="C27"/>
      <c r="D27"/>
      <c r="E27"/>
      <c r="F27"/>
      <c r="G27"/>
      <c r="H27"/>
      <c r="N27" s="4" t="s">
        <v>66</v>
      </c>
      <c r="P27" s="3">
        <f>ROUND(((P8+P12+P17+P18+P22+P25)/(C5*C8))/2,3)</f>
        <v>0.76500000000000001</v>
      </c>
      <c r="R27" s="26" t="s">
        <v>105</v>
      </c>
      <c r="T27" s="1">
        <f>ROUND(((T20*2.2*2)+(T19*1.8))*T26,3)</f>
        <v>106.08</v>
      </c>
      <c r="AX27"/>
      <c r="AZ27" s="2"/>
      <c r="BB27"/>
      <c r="BD27" s="2"/>
    </row>
    <row r="28" spans="1:60" x14ac:dyDescent="0.25">
      <c r="A28"/>
      <c r="B28"/>
      <c r="C28"/>
      <c r="D28"/>
      <c r="E28"/>
      <c r="F28"/>
      <c r="G28"/>
      <c r="H28"/>
      <c r="R28" s="26" t="s">
        <v>106</v>
      </c>
      <c r="T28" s="3">
        <f>ROUND(T27/1.3,3)</f>
        <v>81.599999999999994</v>
      </c>
      <c r="AZ28" s="3"/>
      <c r="BD28" s="3"/>
    </row>
    <row r="29" spans="1:60" x14ac:dyDescent="0.25">
      <c r="A29"/>
      <c r="B29"/>
      <c r="C29">
        <f>H17+L17+P27+T30</f>
        <v>3.4470000000000001</v>
      </c>
      <c r="D29"/>
      <c r="E29"/>
      <c r="F29"/>
      <c r="G29"/>
      <c r="H29"/>
      <c r="R29" s="1" t="s">
        <v>108</v>
      </c>
    </row>
    <row r="30" spans="1:60" ht="15.75" x14ac:dyDescent="0.25">
      <c r="A30"/>
      <c r="B30"/>
      <c r="C30"/>
      <c r="D30"/>
      <c r="E30"/>
      <c r="F30"/>
      <c r="G30"/>
      <c r="H30"/>
      <c r="R30" s="4" t="s">
        <v>66</v>
      </c>
      <c r="T30" s="3">
        <f>ROUND(((T8+T14+T16+T24+T28)/($C$5*$C$9)),3)</f>
        <v>0.80200000000000005</v>
      </c>
      <c r="AX30" s="4"/>
      <c r="AZ30" s="3"/>
      <c r="BB30" s="4"/>
      <c r="BD30" s="3"/>
    </row>
    <row r="31" spans="1:60" ht="15" customHeight="1" x14ac:dyDescent="0.25">
      <c r="A31"/>
      <c r="B31"/>
      <c r="C31"/>
      <c r="D31"/>
      <c r="E31"/>
      <c r="F31"/>
      <c r="G31"/>
      <c r="H31"/>
    </row>
    <row r="32" spans="1:60" ht="15" customHeight="1" x14ac:dyDescent="0.25">
      <c r="A32"/>
      <c r="B32"/>
      <c r="C32"/>
      <c r="D32"/>
      <c r="E32"/>
      <c r="F32"/>
      <c r="G32"/>
      <c r="H32"/>
    </row>
    <row r="33" spans="1:9" x14ac:dyDescent="0.25">
      <c r="A33"/>
      <c r="B33"/>
      <c r="C33"/>
      <c r="D33"/>
      <c r="E33"/>
      <c r="F33"/>
      <c r="G33"/>
      <c r="H33"/>
    </row>
    <row r="34" spans="1:9" x14ac:dyDescent="0.25">
      <c r="A34"/>
      <c r="B34"/>
      <c r="C34"/>
      <c r="D34"/>
      <c r="E34"/>
      <c r="F34"/>
      <c r="G34"/>
      <c r="H34"/>
      <c r="I34" s="26"/>
    </row>
    <row r="35" spans="1:9" x14ac:dyDescent="0.25">
      <c r="A35"/>
      <c r="B35"/>
      <c r="C35" s="46"/>
      <c r="D35" s="46"/>
      <c r="E35" s="46"/>
      <c r="F35" s="46"/>
      <c r="G35" s="46"/>
      <c r="H35" s="46"/>
    </row>
  </sheetData>
  <mergeCells count="16">
    <mergeCell ref="J13:K13"/>
    <mergeCell ref="C35:H35"/>
    <mergeCell ref="A1:T2"/>
    <mergeCell ref="AL5:AN5"/>
    <mergeCell ref="AP5:AR5"/>
    <mergeCell ref="AT5:AV5"/>
    <mergeCell ref="AX5:AZ5"/>
    <mergeCell ref="BB5:BD5"/>
    <mergeCell ref="BF5:BH5"/>
    <mergeCell ref="F5:H5"/>
    <mergeCell ref="J5:L5"/>
    <mergeCell ref="N5:P5"/>
    <mergeCell ref="R5:T5"/>
    <mergeCell ref="Z5:AB5"/>
    <mergeCell ref="AD5:AF5"/>
    <mergeCell ref="AH5:AJ5"/>
  </mergeCells>
  <pageMargins left="0.7" right="0.7" top="0.78740157499999996" bottom="0.78740157499999996" header="0.3" footer="0.3"/>
  <pageSetup paperSize="9" orientation="portrait" r:id="rId1"/>
  <headerFooter>
    <oddHeader>&amp;C&amp;"MS UI Gothic"&amp;10&amp;K000000•• PROTECTED 関係者外秘&amp;1#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05CB0-E664-4AFE-81FB-5367B517E998}">
  <sheetPr codeName="List22">
    <tabColor rgb="FFFCF96D"/>
  </sheetPr>
  <dimension ref="A14:F48"/>
  <sheetViews>
    <sheetView showRuler="0" zoomScale="115" zoomScaleNormal="115" workbookViewId="0">
      <selection activeCell="O23" sqref="O23"/>
    </sheetView>
  </sheetViews>
  <sheetFormatPr defaultRowHeight="15" x14ac:dyDescent="0.25"/>
  <cols>
    <col min="3" max="3" width="9.28515625" customWidth="1"/>
    <col min="4" max="4" width="8" customWidth="1"/>
    <col min="5" max="5" width="9.28515625" customWidth="1"/>
  </cols>
  <sheetData>
    <row r="14" spans="1:6" x14ac:dyDescent="0.25">
      <c r="A14" t="s">
        <v>113</v>
      </c>
      <c r="D14">
        <v>44.86</v>
      </c>
    </row>
    <row r="15" spans="1:6" x14ac:dyDescent="0.25">
      <c r="A15" t="s">
        <v>132</v>
      </c>
      <c r="D15">
        <f>ROUND(D14/7,3)</f>
        <v>6.4089999999999998</v>
      </c>
      <c r="E15" t="s">
        <v>133</v>
      </c>
      <c r="F15" t="s">
        <v>431</v>
      </c>
    </row>
    <row r="16" spans="1:6" x14ac:dyDescent="0.25">
      <c r="A16" t="s">
        <v>134</v>
      </c>
      <c r="D16" s="1">
        <v>3.4</v>
      </c>
      <c r="E16" t="s">
        <v>445</v>
      </c>
    </row>
    <row r="17" spans="1:5" x14ac:dyDescent="0.25">
      <c r="A17" s="26" t="s">
        <v>135</v>
      </c>
      <c r="B17" s="1"/>
      <c r="D17" s="1">
        <v>1.3</v>
      </c>
    </row>
    <row r="19" spans="1:5" x14ac:dyDescent="0.25">
      <c r="A19" s="23" t="s">
        <v>136</v>
      </c>
      <c r="B19" s="14"/>
      <c r="C19" s="14"/>
      <c r="D19" s="15"/>
      <c r="E19" t="s">
        <v>393</v>
      </c>
    </row>
    <row r="20" spans="1:5" x14ac:dyDescent="0.25">
      <c r="A20" s="34" t="s">
        <v>117</v>
      </c>
      <c r="B20" s="14"/>
      <c r="C20" s="15"/>
      <c r="D20" s="14">
        <v>40</v>
      </c>
      <c r="E20" t="s">
        <v>394</v>
      </c>
    </row>
    <row r="21" spans="1:5" x14ac:dyDescent="0.25">
      <c r="A21" s="34" t="s">
        <v>137</v>
      </c>
      <c r="B21" s="14"/>
      <c r="C21" s="23"/>
      <c r="D21" s="24">
        <f>ROUND(D20/D17,3)</f>
        <v>30.768999999999998</v>
      </c>
      <c r="E21" t="s">
        <v>138</v>
      </c>
    </row>
    <row r="23" spans="1:5" x14ac:dyDescent="0.25">
      <c r="A23" s="23" t="s">
        <v>139</v>
      </c>
      <c r="B23" s="14"/>
      <c r="C23" s="14"/>
      <c r="D23" s="15"/>
      <c r="E23" t="s">
        <v>395</v>
      </c>
    </row>
    <row r="24" spans="1:5" x14ac:dyDescent="0.25">
      <c r="A24" s="34" t="s">
        <v>117</v>
      </c>
      <c r="B24" s="14"/>
      <c r="C24" s="15"/>
      <c r="D24" s="14">
        <v>16</v>
      </c>
      <c r="E24" t="s">
        <v>396</v>
      </c>
    </row>
    <row r="25" spans="1:5" x14ac:dyDescent="0.25">
      <c r="A25" s="34" t="s">
        <v>118</v>
      </c>
      <c r="B25" s="15"/>
      <c r="C25" s="15"/>
      <c r="D25" s="15">
        <f>D24*D16*D15</f>
        <v>348.64959999999996</v>
      </c>
      <c r="E25" t="s">
        <v>446</v>
      </c>
    </row>
    <row r="26" spans="1:5" x14ac:dyDescent="0.25">
      <c r="A26" s="34" t="s">
        <v>137</v>
      </c>
      <c r="B26" s="14"/>
      <c r="C26" s="23"/>
      <c r="D26" s="29">
        <f>D25/D17</f>
        <v>268.19199999999995</v>
      </c>
      <c r="E26" t="s">
        <v>382</v>
      </c>
    </row>
    <row r="28" spans="1:5" x14ac:dyDescent="0.25">
      <c r="A28" s="21" t="s">
        <v>141</v>
      </c>
      <c r="B28" s="10"/>
      <c r="C28" s="10"/>
      <c r="D28" s="10"/>
    </row>
    <row r="29" spans="1:5" x14ac:dyDescent="0.25">
      <c r="A29" s="33" t="s">
        <v>142</v>
      </c>
      <c r="B29" s="10"/>
      <c r="C29" s="10"/>
      <c r="D29" s="10">
        <v>55</v>
      </c>
    </row>
    <row r="30" spans="1:5" x14ac:dyDescent="0.25">
      <c r="A30" s="33" t="s">
        <v>143</v>
      </c>
      <c r="B30" s="10"/>
      <c r="C30" s="10"/>
      <c r="D30" s="21">
        <f>D29*D15</f>
        <v>352.495</v>
      </c>
      <c r="E30" t="s">
        <v>252</v>
      </c>
    </row>
    <row r="32" spans="1:5" x14ac:dyDescent="0.25">
      <c r="A32" s="21" t="s">
        <v>144</v>
      </c>
      <c r="B32" s="10"/>
      <c r="C32" s="10"/>
      <c r="D32" s="10"/>
      <c r="E32" t="s">
        <v>397</v>
      </c>
    </row>
    <row r="33" spans="1:6" x14ac:dyDescent="0.25">
      <c r="A33" s="33" t="s">
        <v>145</v>
      </c>
      <c r="B33" s="10"/>
      <c r="C33" s="10"/>
      <c r="D33" s="21">
        <v>90</v>
      </c>
    </row>
    <row r="34" spans="1:6" ht="15.75" x14ac:dyDescent="0.25">
      <c r="F34" s="22"/>
    </row>
    <row r="35" spans="1:6" x14ac:dyDescent="0.25">
      <c r="A35" s="21" t="s">
        <v>146</v>
      </c>
      <c r="B35" s="10"/>
      <c r="C35" s="10"/>
      <c r="D35" s="10"/>
      <c r="E35" t="s">
        <v>398</v>
      </c>
    </row>
    <row r="36" spans="1:6" x14ac:dyDescent="0.25">
      <c r="A36" s="33" t="s">
        <v>147</v>
      </c>
      <c r="B36" s="10"/>
      <c r="C36" s="10"/>
      <c r="D36" s="10">
        <v>4</v>
      </c>
    </row>
    <row r="37" spans="1:6" x14ac:dyDescent="0.25">
      <c r="A37" s="33" t="s">
        <v>148</v>
      </c>
      <c r="B37" s="10"/>
      <c r="C37" s="10"/>
      <c r="D37" s="21">
        <f>D36*D16*D15</f>
        <v>87.162399999999991</v>
      </c>
      <c r="E37" t="s">
        <v>447</v>
      </c>
    </row>
    <row r="39" spans="1:6" x14ac:dyDescent="0.25">
      <c r="A39" s="21" t="s">
        <v>149</v>
      </c>
      <c r="B39" s="10"/>
      <c r="C39" s="10"/>
      <c r="D39" s="10"/>
      <c r="E39" t="s">
        <v>399</v>
      </c>
    </row>
    <row r="40" spans="1:6" x14ac:dyDescent="0.25">
      <c r="A40" s="33" t="s">
        <v>150</v>
      </c>
      <c r="B40" s="10"/>
      <c r="C40" s="10"/>
      <c r="D40" s="10">
        <v>17</v>
      </c>
    </row>
    <row r="41" spans="1:6" x14ac:dyDescent="0.25">
      <c r="A41" s="33" t="s">
        <v>148</v>
      </c>
      <c r="B41" s="10"/>
      <c r="C41" s="10"/>
      <c r="D41" s="21">
        <f>ROUND(D40*D16*D15,3)</f>
        <v>370.44</v>
      </c>
      <c r="E41" t="s">
        <v>448</v>
      </c>
    </row>
    <row r="48" spans="1:6" ht="15.75" x14ac:dyDescent="0.25">
      <c r="A48" s="4" t="s">
        <v>66</v>
      </c>
      <c r="B48" s="1"/>
      <c r="C48" s="3">
        <f>ROUND(((D21+D26+D30+D33+D37+D41)/(72*10.885))/2,3)</f>
        <v>0.76500000000000001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42D6D-BF5B-4E37-A5DE-E05018AAA94A}">
  <sheetPr codeName="List27">
    <tabColor rgb="FFFCF96D"/>
  </sheetPr>
  <dimension ref="A14:E55"/>
  <sheetViews>
    <sheetView showRuler="0" zoomScaleNormal="100" workbookViewId="0">
      <selection activeCell="O23" sqref="O23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5" x14ac:dyDescent="0.25">
      <c r="A14" s="26"/>
      <c r="B14" s="1"/>
      <c r="D14" s="1"/>
    </row>
    <row r="15" spans="1:5" x14ac:dyDescent="0.25">
      <c r="A15" t="s">
        <v>151</v>
      </c>
      <c r="D15">
        <v>74.688000000000002</v>
      </c>
      <c r="E15" s="25" t="s">
        <v>442</v>
      </c>
    </row>
    <row r="16" spans="1:5" x14ac:dyDescent="0.25">
      <c r="A16" t="s">
        <v>152</v>
      </c>
      <c r="D16">
        <v>3</v>
      </c>
      <c r="E16" t="s">
        <v>108</v>
      </c>
    </row>
    <row r="17" spans="1:5" x14ac:dyDescent="0.25">
      <c r="A17" t="s">
        <v>153</v>
      </c>
      <c r="D17">
        <v>4</v>
      </c>
      <c r="E17" t="s">
        <v>108</v>
      </c>
    </row>
    <row r="18" spans="1:5" x14ac:dyDescent="0.25">
      <c r="A18" t="s">
        <v>154</v>
      </c>
      <c r="D18">
        <v>4</v>
      </c>
      <c r="E18" t="s">
        <v>402</v>
      </c>
    </row>
    <row r="19" spans="1:5" x14ac:dyDescent="0.25">
      <c r="A19" t="s">
        <v>155</v>
      </c>
      <c r="D19">
        <v>1.3</v>
      </c>
      <c r="E19" t="s">
        <v>402</v>
      </c>
    </row>
    <row r="20" spans="1:5" x14ac:dyDescent="0.25">
      <c r="A20" s="26" t="s">
        <v>156</v>
      </c>
      <c r="B20" s="1"/>
      <c r="D20" s="1">
        <v>1.67</v>
      </c>
    </row>
    <row r="21" spans="1:5" x14ac:dyDescent="0.25">
      <c r="A21" s="26" t="s">
        <v>135</v>
      </c>
      <c r="B21" s="1"/>
      <c r="D21" s="1">
        <v>1.3</v>
      </c>
    </row>
    <row r="23" spans="1:5" x14ac:dyDescent="0.25">
      <c r="A23" s="11" t="s">
        <v>18</v>
      </c>
      <c r="B23" s="12"/>
      <c r="C23" s="12"/>
      <c r="D23" s="18"/>
    </row>
    <row r="24" spans="1:5" x14ac:dyDescent="0.25">
      <c r="A24" s="32" t="s">
        <v>117</v>
      </c>
      <c r="B24" s="12"/>
      <c r="C24" s="18"/>
      <c r="D24" s="12">
        <v>700</v>
      </c>
    </row>
    <row r="25" spans="1:5" x14ac:dyDescent="0.25">
      <c r="A25" s="32" t="s">
        <v>119</v>
      </c>
      <c r="B25" s="12"/>
      <c r="C25" s="11"/>
      <c r="D25" s="19">
        <f>ROUND(D24/D20,3)</f>
        <v>419.16199999999998</v>
      </c>
      <c r="E25" t="s">
        <v>157</v>
      </c>
    </row>
    <row r="27" spans="1:5" x14ac:dyDescent="0.25">
      <c r="A27" s="23" t="s">
        <v>158</v>
      </c>
      <c r="B27" s="14"/>
      <c r="C27" s="14"/>
      <c r="D27" s="15"/>
      <c r="E27" t="s">
        <v>403</v>
      </c>
    </row>
    <row r="28" spans="1:5" x14ac:dyDescent="0.25">
      <c r="A28" s="34" t="s">
        <v>159</v>
      </c>
      <c r="B28" s="14"/>
      <c r="C28" s="15"/>
      <c r="D28" s="14">
        <f>D16*D18</f>
        <v>12</v>
      </c>
      <c r="E28" t="s">
        <v>257</v>
      </c>
    </row>
    <row r="29" spans="1:5" x14ac:dyDescent="0.25">
      <c r="A29" s="15" t="s">
        <v>160</v>
      </c>
      <c r="B29" s="15"/>
      <c r="C29" s="15"/>
      <c r="D29" s="15">
        <f>D28*D16*2.2</f>
        <v>79.2</v>
      </c>
      <c r="E29" t="s">
        <v>443</v>
      </c>
    </row>
    <row r="30" spans="1:5" x14ac:dyDescent="0.25">
      <c r="A30" s="34" t="s">
        <v>137</v>
      </c>
      <c r="B30" s="14"/>
      <c r="C30" s="23"/>
      <c r="D30" s="24">
        <f>ROUND(D29/D21,3)</f>
        <v>60.923000000000002</v>
      </c>
      <c r="E30" t="s">
        <v>170</v>
      </c>
    </row>
    <row r="32" spans="1:5" x14ac:dyDescent="0.25">
      <c r="A32" s="23" t="s">
        <v>162</v>
      </c>
      <c r="B32" s="14"/>
      <c r="C32" s="14"/>
      <c r="D32" s="15"/>
      <c r="E32" t="s">
        <v>408</v>
      </c>
    </row>
    <row r="33" spans="1:5" x14ac:dyDescent="0.25">
      <c r="A33" s="34" t="s">
        <v>159</v>
      </c>
      <c r="B33" s="14"/>
      <c r="C33" s="15"/>
      <c r="D33" s="14">
        <f>D17*D19</f>
        <v>5.2</v>
      </c>
      <c r="E33" t="s">
        <v>258</v>
      </c>
    </row>
    <row r="34" spans="1:5" x14ac:dyDescent="0.25">
      <c r="A34" s="15" t="s">
        <v>160</v>
      </c>
      <c r="B34" s="15"/>
      <c r="C34" s="15"/>
      <c r="D34" s="15">
        <f>((D16*2.2*2)+(D17*1.8))*D33</f>
        <v>106.08000000000001</v>
      </c>
      <c r="E34" t="s">
        <v>444</v>
      </c>
    </row>
    <row r="35" spans="1:5" x14ac:dyDescent="0.25">
      <c r="A35" s="34" t="s">
        <v>137</v>
      </c>
      <c r="B35" s="14"/>
      <c r="C35" s="23"/>
      <c r="D35" s="24">
        <f>D34/D21</f>
        <v>81.600000000000009</v>
      </c>
      <c r="E35" t="s">
        <v>171</v>
      </c>
    </row>
    <row r="37" spans="1:5" x14ac:dyDescent="0.25">
      <c r="A37" s="21" t="s">
        <v>164</v>
      </c>
      <c r="B37" s="10"/>
      <c r="C37" s="10"/>
      <c r="D37" s="10"/>
      <c r="E37" t="s">
        <v>406</v>
      </c>
    </row>
    <row r="38" spans="1:5" x14ac:dyDescent="0.25">
      <c r="A38" s="33" t="s">
        <v>165</v>
      </c>
      <c r="B38" s="10"/>
      <c r="C38" s="10"/>
      <c r="D38" s="10">
        <v>9</v>
      </c>
      <c r="E38" t="s">
        <v>407</v>
      </c>
    </row>
    <row r="39" spans="1:5" x14ac:dyDescent="0.25">
      <c r="A39" s="33" t="s">
        <v>166</v>
      </c>
      <c r="B39" s="10"/>
      <c r="C39" s="10"/>
      <c r="D39" s="21">
        <f>D38*D15</f>
        <v>672.19200000000001</v>
      </c>
      <c r="E39" t="s">
        <v>310</v>
      </c>
    </row>
    <row r="41" spans="1:5" x14ac:dyDescent="0.25">
      <c r="A41" s="21" t="s">
        <v>167</v>
      </c>
      <c r="B41" s="10"/>
      <c r="C41" s="10"/>
      <c r="D41" s="10"/>
      <c r="E41" t="s">
        <v>409</v>
      </c>
    </row>
    <row r="42" spans="1:5" x14ac:dyDescent="0.25">
      <c r="A42" s="33" t="s">
        <v>168</v>
      </c>
      <c r="B42" s="10"/>
      <c r="C42" s="10"/>
      <c r="D42" s="10">
        <v>6</v>
      </c>
      <c r="E42" t="s">
        <v>108</v>
      </c>
    </row>
    <row r="43" spans="1:5" x14ac:dyDescent="0.25">
      <c r="A43" s="33" t="s">
        <v>169</v>
      </c>
      <c r="B43" s="10"/>
      <c r="C43" s="10"/>
      <c r="D43" s="21">
        <f>D42*D17</f>
        <v>24</v>
      </c>
      <c r="E43" t="s">
        <v>296</v>
      </c>
    </row>
    <row r="55" spans="1:3" ht="15.75" x14ac:dyDescent="0.25">
      <c r="A55" s="4" t="s">
        <v>66</v>
      </c>
      <c r="B55" s="1"/>
      <c r="C55" s="3">
        <f>ROUND(((D30+D35+D39+D43+D25)/(72*21.771)),3)</f>
        <v>0.80200000000000005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DB2B-16F3-4420-8E35-B171FD9AA60C}">
  <sheetPr codeName="List7">
    <tabColor theme="5" tint="0.79998168889431442"/>
  </sheetPr>
  <dimension ref="A1:BT35"/>
  <sheetViews>
    <sheetView workbookViewId="0">
      <pane xSplit="3" ySplit="2" topLeftCell="D3" activePane="bottomRight" state="frozen"/>
      <selection pane="topRight" activeCell="K33" sqref="K33"/>
      <selection pane="bottomLeft" activeCell="K33" sqref="K33"/>
      <selection pane="bottomRight" activeCell="G13" sqref="G13"/>
    </sheetView>
  </sheetViews>
  <sheetFormatPr defaultColWidth="9.140625" defaultRowHeight="15" x14ac:dyDescent="0.25"/>
  <cols>
    <col min="1" max="1" width="17.28515625" style="1" bestFit="1" customWidth="1"/>
    <col min="2" max="4" width="9.140625" style="1"/>
    <col min="5" max="5" width="14.42578125" style="1" customWidth="1"/>
    <col min="6" max="8" width="9.140625" style="1"/>
    <col min="9" max="9" width="14.28515625" style="1" customWidth="1"/>
    <col min="10" max="12" width="9.140625" style="1"/>
    <col min="13" max="13" width="15.5703125" style="1" customWidth="1"/>
    <col min="14" max="14" width="9.140625" style="1"/>
    <col min="15" max="15" width="9" style="1" customWidth="1"/>
    <col min="16" max="16" width="9.140625" style="1"/>
    <col min="17" max="17" width="15.5703125" style="1" customWidth="1"/>
    <col min="18" max="20" width="9.140625" style="1"/>
    <col min="21" max="21" width="15.42578125" style="1" customWidth="1"/>
    <col min="22" max="24" width="9.140625" style="1"/>
    <col min="25" max="25" width="12.5703125" style="1" customWidth="1"/>
    <col min="26" max="28" width="9.140625" style="1"/>
    <col min="29" max="29" width="13.140625" style="1" customWidth="1"/>
    <col min="30" max="32" width="9.140625" style="1"/>
    <col min="33" max="33" width="14.28515625" style="1" customWidth="1"/>
    <col min="34" max="34" width="9.42578125" style="1" customWidth="1"/>
    <col min="35" max="36" width="9.140625" style="1"/>
    <col min="37" max="37" width="14.85546875" style="1" customWidth="1"/>
    <col min="38" max="48" width="9.140625" style="1"/>
    <col min="49" max="49" width="12.85546875" style="1" customWidth="1"/>
    <col min="50" max="58" width="9.140625" style="1"/>
    <col min="59" max="59" width="16.5703125" style="1" bestFit="1" customWidth="1"/>
    <col min="60" max="16384" width="9.140625" style="1"/>
  </cols>
  <sheetData>
    <row r="1" spans="1:72" ht="15" customHeight="1" x14ac:dyDescent="0.2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/>
      <c r="U1" s="50" t="s">
        <v>1</v>
      </c>
      <c r="V1" s="50"/>
      <c r="W1" s="50"/>
      <c r="X1" s="50"/>
      <c r="Y1" s="50"/>
      <c r="Z1" s="50"/>
      <c r="AA1" s="50"/>
      <c r="AB1" s="50"/>
      <c r="AC1" s="50"/>
      <c r="AD1" s="50"/>
      <c r="AE1" s="50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BH1"/>
      <c r="BI1"/>
      <c r="BJ1"/>
      <c r="BK1"/>
      <c r="BL1"/>
      <c r="BM1"/>
      <c r="BN1"/>
      <c r="BO1"/>
      <c r="BP1"/>
      <c r="BQ1"/>
      <c r="BR1"/>
      <c r="BS1"/>
      <c r="BT1"/>
    </row>
    <row r="2" spans="1:72" ht="15" customHeight="1" x14ac:dyDescent="0.2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BH2"/>
      <c r="BI2"/>
      <c r="BJ2"/>
      <c r="BK2"/>
      <c r="BL2"/>
      <c r="BM2"/>
      <c r="BN2"/>
      <c r="BO2"/>
      <c r="BP2"/>
      <c r="BQ2"/>
      <c r="BR2"/>
      <c r="BS2"/>
      <c r="BT2"/>
    </row>
    <row r="3" spans="1:72" x14ac:dyDescent="0.25">
      <c r="F3" s="35"/>
      <c r="J3" s="35"/>
      <c r="N3" s="35"/>
      <c r="R3" s="35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72" ht="15" customHeight="1" x14ac:dyDescent="0.25">
      <c r="A4" s="1" t="s">
        <v>2</v>
      </c>
      <c r="C4" s="1">
        <v>79200</v>
      </c>
      <c r="R4" s="35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72" ht="15" customHeight="1" x14ac:dyDescent="0.25">
      <c r="A5" s="1" t="s">
        <v>3</v>
      </c>
      <c r="C5" s="1">
        <v>72</v>
      </c>
      <c r="E5" s="47" t="s">
        <v>4</v>
      </c>
      <c r="F5" s="47"/>
      <c r="G5" s="47"/>
      <c r="I5" s="47" t="s">
        <v>5</v>
      </c>
      <c r="J5" s="47"/>
      <c r="K5" s="47"/>
      <c r="M5" s="47" t="s">
        <v>6</v>
      </c>
      <c r="N5" s="47"/>
      <c r="O5" s="47"/>
      <c r="Q5" s="47" t="s">
        <v>10</v>
      </c>
      <c r="R5" s="47"/>
      <c r="S5" s="47"/>
      <c r="U5" s="47" t="s">
        <v>12</v>
      </c>
      <c r="V5" s="47"/>
      <c r="W5" s="47"/>
      <c r="Y5" s="47" t="s">
        <v>13</v>
      </c>
      <c r="Z5" s="47"/>
      <c r="AA5" s="47"/>
      <c r="AC5" s="47" t="s">
        <v>16</v>
      </c>
      <c r="AD5" s="47"/>
      <c r="AE5" s="47"/>
      <c r="AF5"/>
      <c r="AG5" s="46"/>
      <c r="AH5" s="46"/>
      <c r="AI5" s="46"/>
      <c r="AJ5"/>
      <c r="AK5" s="46"/>
      <c r="AL5" s="46"/>
      <c r="AM5" s="46"/>
      <c r="AN5"/>
      <c r="AO5" s="46"/>
      <c r="AP5" s="46"/>
      <c r="AQ5" s="46"/>
      <c r="AR5"/>
      <c r="AS5" s="46"/>
      <c r="AT5" s="46"/>
      <c r="AU5" s="46"/>
      <c r="AV5"/>
      <c r="AW5" s="46"/>
      <c r="AX5" s="46"/>
      <c r="AY5" s="46"/>
      <c r="BA5" s="47"/>
      <c r="BB5" s="47"/>
      <c r="BC5" s="47"/>
      <c r="BE5" s="47"/>
      <c r="BF5" s="47"/>
      <c r="BG5" s="47"/>
    </row>
    <row r="6" spans="1:72" ht="15" customHeight="1" x14ac:dyDescent="0.25">
      <c r="A6" s="1" t="s">
        <v>17</v>
      </c>
      <c r="C6" s="1">
        <v>96</v>
      </c>
      <c r="E6" s="3" t="s">
        <v>18</v>
      </c>
      <c r="I6" s="3" t="s">
        <v>18</v>
      </c>
      <c r="M6" s="3" t="s">
        <v>19</v>
      </c>
      <c r="Q6" s="3" t="s">
        <v>18</v>
      </c>
      <c r="U6" s="3" t="s">
        <v>18</v>
      </c>
      <c r="Y6" s="3" t="s">
        <v>18</v>
      </c>
      <c r="AC6" s="3" t="s">
        <v>18</v>
      </c>
      <c r="AG6" s="3"/>
      <c r="AK6" s="3"/>
      <c r="AO6" s="3"/>
      <c r="AS6" s="3"/>
      <c r="AW6" s="3"/>
      <c r="BA6" s="3"/>
      <c r="BE6" s="3"/>
    </row>
    <row r="7" spans="1:72" ht="15" customHeight="1" x14ac:dyDescent="0.25">
      <c r="A7" s="1" t="s">
        <v>20</v>
      </c>
      <c r="C7" s="1">
        <v>1045</v>
      </c>
      <c r="E7" s="1" t="s">
        <v>21</v>
      </c>
      <c r="G7" s="1">
        <v>70</v>
      </c>
      <c r="I7" s="1" t="s">
        <v>21</v>
      </c>
      <c r="K7" s="1">
        <v>60</v>
      </c>
      <c r="M7" s="1" t="s">
        <v>22</v>
      </c>
      <c r="O7" s="1">
        <v>40</v>
      </c>
      <c r="Q7" s="1" t="s">
        <v>21</v>
      </c>
      <c r="S7" s="1">
        <v>1180</v>
      </c>
      <c r="U7" s="1" t="s">
        <v>21</v>
      </c>
      <c r="W7" s="1">
        <v>70</v>
      </c>
      <c r="Y7" s="1" t="s">
        <v>23</v>
      </c>
      <c r="AA7" s="1">
        <v>60</v>
      </c>
      <c r="AC7" s="1" t="s">
        <v>21</v>
      </c>
      <c r="AE7" s="1">
        <v>582</v>
      </c>
    </row>
    <row r="8" spans="1:72" ht="15" customHeight="1" x14ac:dyDescent="0.25">
      <c r="A8" s="1" t="s">
        <v>24</v>
      </c>
      <c r="C8" s="1">
        <f>ROUND(C7/C6,3)</f>
        <v>10.885</v>
      </c>
      <c r="E8" s="1" t="s">
        <v>25</v>
      </c>
      <c r="G8" s="1">
        <f>ROUND(G7*C21,3)</f>
        <v>1725.08</v>
      </c>
      <c r="I8" s="1" t="s">
        <v>25</v>
      </c>
      <c r="K8" s="1">
        <f>ROUND(K7*C21,3)</f>
        <v>1478.64</v>
      </c>
      <c r="M8" s="1" t="s">
        <v>26</v>
      </c>
      <c r="O8" s="3">
        <f>ROUND(O7/C16,3)</f>
        <v>30.768999999999998</v>
      </c>
      <c r="Q8" s="1" t="s">
        <v>27</v>
      </c>
      <c r="S8" s="3">
        <f>ROUND(S7/C15,3)</f>
        <v>706.58699999999999</v>
      </c>
      <c r="U8" s="1" t="s">
        <v>25</v>
      </c>
      <c r="W8" s="1">
        <f>ROUND(W7*C26,3)</f>
        <v>513.30999999999995</v>
      </c>
      <c r="Y8" s="1" t="s">
        <v>28</v>
      </c>
      <c r="AA8" s="1">
        <f>ROUND(AA7*AA14,3)</f>
        <v>439.98</v>
      </c>
      <c r="AC8" s="1" t="s">
        <v>27</v>
      </c>
      <c r="AE8" s="3">
        <f>ROUND(AE7/C15,3)</f>
        <v>348.50299999999999</v>
      </c>
      <c r="AI8" s="3"/>
      <c r="AY8" s="3"/>
      <c r="BC8" s="3"/>
      <c r="BG8" s="3"/>
    </row>
    <row r="9" spans="1:72" x14ac:dyDescent="0.25">
      <c r="A9" s="1" t="s">
        <v>29</v>
      </c>
      <c r="C9" s="1">
        <f>ROUND(C7/48,3)</f>
        <v>21.771000000000001</v>
      </c>
      <c r="E9" s="1" t="s">
        <v>27</v>
      </c>
      <c r="G9" s="3">
        <f>ROUND(G8/C14,3)</f>
        <v>932.476</v>
      </c>
      <c r="I9" s="1" t="s">
        <v>27</v>
      </c>
      <c r="K9" s="3">
        <f>ROUND(K8/C14,3)</f>
        <v>799.26499999999999</v>
      </c>
      <c r="M9" s="1" t="s">
        <v>30</v>
      </c>
      <c r="O9" s="1">
        <v>16</v>
      </c>
      <c r="S9" s="3"/>
      <c r="U9" s="1" t="s">
        <v>27</v>
      </c>
      <c r="W9" s="3">
        <f>ROUND(W8/C14,3)</f>
        <v>277.46499999999997</v>
      </c>
      <c r="Y9" s="1" t="s">
        <v>31</v>
      </c>
      <c r="AA9" s="1">
        <v>80</v>
      </c>
      <c r="AI9" s="3"/>
      <c r="AM9" s="3"/>
    </row>
    <row r="10" spans="1:72" x14ac:dyDescent="0.25">
      <c r="A10" s="1" t="s">
        <v>32</v>
      </c>
      <c r="C10" s="1">
        <f>ROUND(C7/24,3)</f>
        <v>43.542000000000002</v>
      </c>
      <c r="M10" s="1" t="s">
        <v>33</v>
      </c>
      <c r="O10" s="1">
        <f>ROUND(O9/C16,3)</f>
        <v>12.308</v>
      </c>
      <c r="Q10" s="3" t="s">
        <v>34</v>
      </c>
      <c r="Y10" s="1" t="s">
        <v>35</v>
      </c>
      <c r="AA10" s="1">
        <f>ROUND((AA9*AA14)/2,3)</f>
        <v>293.32</v>
      </c>
      <c r="AC10" s="3" t="s">
        <v>19</v>
      </c>
      <c r="AG10" s="3"/>
      <c r="AW10" s="3"/>
      <c r="BA10" s="3"/>
      <c r="BE10" s="3"/>
    </row>
    <row r="11" spans="1:72" x14ac:dyDescent="0.25">
      <c r="A11" s="1" t="s">
        <v>36</v>
      </c>
      <c r="C11" s="1">
        <f>ROUND(C7/18,3)</f>
        <v>58.055999999999997</v>
      </c>
      <c r="E11" s="3" t="s">
        <v>34</v>
      </c>
      <c r="I11" s="3" t="s">
        <v>34</v>
      </c>
      <c r="M11" s="1" t="s">
        <v>37</v>
      </c>
      <c r="O11" s="1">
        <f>ROUND(O10*O19,3)</f>
        <v>35.939</v>
      </c>
      <c r="Q11" s="1" t="s">
        <v>38</v>
      </c>
      <c r="S11" s="1">
        <v>1971</v>
      </c>
      <c r="U11" s="3" t="s">
        <v>34</v>
      </c>
      <c r="Y11" s="1" t="s">
        <v>27</v>
      </c>
      <c r="AA11" s="3">
        <f>ROUND((AA8+AA10)/C14,3)</f>
        <v>396.37799999999999</v>
      </c>
      <c r="AC11" s="1" t="s">
        <v>39</v>
      </c>
      <c r="AE11" s="1">
        <v>96</v>
      </c>
      <c r="AK11" s="3"/>
      <c r="AQ11" s="3"/>
      <c r="AU11" s="3"/>
    </row>
    <row r="12" spans="1:72" x14ac:dyDescent="0.25">
      <c r="A12" s="1" t="s">
        <v>40</v>
      </c>
      <c r="C12" s="1">
        <f>ROUND(C7/12,3)</f>
        <v>87.082999999999998</v>
      </c>
      <c r="E12" s="1" t="s">
        <v>41</v>
      </c>
      <c r="G12" s="1">
        <v>12</v>
      </c>
      <c r="I12" t="s">
        <v>42</v>
      </c>
      <c r="J12"/>
      <c r="K12" s="1">
        <v>7</v>
      </c>
      <c r="M12" s="1" t="s">
        <v>43</v>
      </c>
      <c r="O12" s="3">
        <f>ROUND(O11*O15,3)</f>
        <v>227.745</v>
      </c>
      <c r="Q12" s="1" t="s">
        <v>44</v>
      </c>
      <c r="S12" s="1">
        <f>ROUND(S11/48,3)</f>
        <v>41.063000000000002</v>
      </c>
      <c r="U12" t="s">
        <v>45</v>
      </c>
      <c r="V12"/>
      <c r="W12">
        <v>10</v>
      </c>
      <c r="X12"/>
      <c r="AC12" s="1" t="s">
        <v>46</v>
      </c>
      <c r="AE12" s="3">
        <f>ROUND(AE11/C16,3)</f>
        <v>73.846000000000004</v>
      </c>
      <c r="AK12"/>
      <c r="AL12"/>
      <c r="AM12"/>
      <c r="AN12"/>
      <c r="AY12" s="3"/>
      <c r="BC12" s="3"/>
      <c r="BG12" s="3"/>
    </row>
    <row r="13" spans="1:72" x14ac:dyDescent="0.25">
      <c r="E13" s="1" t="s">
        <v>47</v>
      </c>
      <c r="G13" s="3">
        <f>ROUND(G12*C21,3)</f>
        <v>295.72800000000001</v>
      </c>
      <c r="I13" s="45" t="s">
        <v>47</v>
      </c>
      <c r="J13" s="45"/>
      <c r="K13" s="3">
        <f>ROUND(K12*C21,3)</f>
        <v>172.50800000000001</v>
      </c>
      <c r="Q13" s="1" t="s">
        <v>48</v>
      </c>
      <c r="R13"/>
      <c r="S13" s="2">
        <v>9</v>
      </c>
      <c r="U13" s="5" t="s">
        <v>47</v>
      </c>
      <c r="V13" s="5"/>
      <c r="W13" s="13">
        <f>ROUND(W12*C26,3)</f>
        <v>73.33</v>
      </c>
      <c r="X13"/>
      <c r="Y13" s="3" t="s">
        <v>34</v>
      </c>
      <c r="AC13" s="1" t="s">
        <v>49</v>
      </c>
      <c r="AE13" s="1">
        <v>27</v>
      </c>
      <c r="AH13"/>
      <c r="AI13" s="3"/>
      <c r="AK13" s="5"/>
      <c r="AL13" s="5"/>
      <c r="AM13" s="13"/>
      <c r="AN13"/>
      <c r="AO13" s="3"/>
      <c r="AS13" s="3"/>
    </row>
    <row r="14" spans="1:72" x14ac:dyDescent="0.25">
      <c r="A14" s="1" t="s">
        <v>50</v>
      </c>
      <c r="C14" s="1">
        <v>1.85</v>
      </c>
      <c r="E14" s="1" t="s">
        <v>51</v>
      </c>
      <c r="G14" s="1">
        <v>20</v>
      </c>
      <c r="I14" t="s">
        <v>52</v>
      </c>
      <c r="J14"/>
      <c r="K14" s="1">
        <v>12</v>
      </c>
      <c r="M14" s="3" t="s">
        <v>34</v>
      </c>
      <c r="Q14" s="5" t="s">
        <v>53</v>
      </c>
      <c r="R14" s="5"/>
      <c r="S14" s="3">
        <f>ROUND(S13*S12,3)</f>
        <v>369.56700000000001</v>
      </c>
      <c r="U14" t="s">
        <v>51</v>
      </c>
      <c r="V14"/>
      <c r="W14">
        <v>15</v>
      </c>
      <c r="X14"/>
      <c r="Y14" t="s">
        <v>54</v>
      </c>
      <c r="Z14"/>
      <c r="AA14">
        <v>7.3330000000000002</v>
      </c>
      <c r="AC14" s="1" t="s">
        <v>55</v>
      </c>
      <c r="AE14" s="3">
        <f>ROUND(AE13/C16,3)</f>
        <v>20.768999999999998</v>
      </c>
      <c r="AG14" s="5"/>
      <c r="AH14" s="5"/>
      <c r="AI14" s="3"/>
      <c r="AK14"/>
      <c r="AL14"/>
      <c r="AM14"/>
      <c r="AN14"/>
      <c r="AO14"/>
      <c r="AP14"/>
      <c r="AQ14"/>
      <c r="AS14"/>
      <c r="AT14"/>
      <c r="AU14"/>
      <c r="AY14" s="3"/>
      <c r="BC14" s="3"/>
      <c r="BG14" s="3"/>
    </row>
    <row r="15" spans="1:72" x14ac:dyDescent="0.25">
      <c r="A15" s="1" t="s">
        <v>56</v>
      </c>
      <c r="C15" s="1">
        <v>1.67</v>
      </c>
      <c r="E15" s="1" t="s">
        <v>57</v>
      </c>
      <c r="G15" s="3">
        <f>ROUND(G14*C19,3)</f>
        <v>887.2</v>
      </c>
      <c r="I15" t="s">
        <v>57</v>
      </c>
      <c r="J15"/>
      <c r="K15" s="3">
        <f>ROUND(K14*C19,3)</f>
        <v>532.32000000000005</v>
      </c>
      <c r="M15" s="1" t="s">
        <v>59</v>
      </c>
      <c r="O15" s="1">
        <f>ROUND(C19/7,3)</f>
        <v>6.3369999999999997</v>
      </c>
      <c r="Q15" s="1" t="s">
        <v>60</v>
      </c>
      <c r="R15"/>
      <c r="S15" s="1">
        <v>6</v>
      </c>
      <c r="U15" t="s">
        <v>57</v>
      </c>
      <c r="V15"/>
      <c r="W15" s="13">
        <f>ROUND(W14*C24,3)</f>
        <v>165</v>
      </c>
      <c r="X15"/>
      <c r="Y15" s="1" t="s">
        <v>61</v>
      </c>
      <c r="Z15" s="5"/>
      <c r="AA15">
        <v>10</v>
      </c>
      <c r="AK15"/>
      <c r="AL15"/>
      <c r="AM15" s="13"/>
      <c r="AN15"/>
      <c r="AP15" s="5"/>
      <c r="AQ15"/>
      <c r="AT15" s="5"/>
      <c r="AU15"/>
    </row>
    <row r="16" spans="1:72" x14ac:dyDescent="0.25">
      <c r="A16" s="1" t="s">
        <v>62</v>
      </c>
      <c r="C16" s="1">
        <v>1.3</v>
      </c>
      <c r="M16" t="s">
        <v>63</v>
      </c>
      <c r="O16" s="1">
        <v>55</v>
      </c>
      <c r="Q16" s="1" t="s">
        <v>64</v>
      </c>
      <c r="R16"/>
      <c r="S16" s="7">
        <f>ROUND(S15*S19,3)</f>
        <v>42</v>
      </c>
      <c r="U16" t="s">
        <v>65</v>
      </c>
      <c r="V16"/>
      <c r="W16">
        <v>2</v>
      </c>
      <c r="X16"/>
      <c r="Y16" s="5" t="s">
        <v>47</v>
      </c>
      <c r="Z16"/>
      <c r="AA16" s="13">
        <f>ROUND(AA14*AA15,3)</f>
        <v>73.33</v>
      </c>
      <c r="AC16" s="3" t="s">
        <v>34</v>
      </c>
      <c r="AE16" s="3"/>
      <c r="AH16"/>
      <c r="AK16"/>
      <c r="AL16"/>
      <c r="AM16"/>
      <c r="AN16"/>
      <c r="AO16" s="5"/>
      <c r="AP16"/>
      <c r="AQ16" s="13"/>
      <c r="AS16" s="5"/>
      <c r="AT16"/>
      <c r="AU16" s="13"/>
      <c r="AW16" s="3"/>
      <c r="AY16" s="3"/>
      <c r="BA16" s="3"/>
      <c r="BC16" s="3"/>
      <c r="BE16" s="3"/>
      <c r="BG16" s="3"/>
    </row>
    <row r="17" spans="1:59" ht="15.75" x14ac:dyDescent="0.25">
      <c r="E17" s="4" t="s">
        <v>66</v>
      </c>
      <c r="G17" s="3">
        <f>ROUND(((G9+G13+G15)/(C5*C8))/3,3)</f>
        <v>0.9</v>
      </c>
      <c r="I17" s="4" t="s">
        <v>66</v>
      </c>
      <c r="K17" s="3">
        <f>ROUND(((K9+K13+K15)/(C5*C8))/2,3)</f>
        <v>0.96</v>
      </c>
      <c r="M17" s="1" t="s">
        <v>67</v>
      </c>
      <c r="N17"/>
      <c r="O17" s="3">
        <f>ROUND(O16*O15,3)</f>
        <v>348.53500000000003</v>
      </c>
      <c r="U17" s="1" t="s">
        <v>68</v>
      </c>
      <c r="W17" s="3">
        <f>ROUND(W16*2*C24,3)</f>
        <v>44</v>
      </c>
      <c r="Y17" t="s">
        <v>69</v>
      </c>
      <c r="Z17"/>
      <c r="AA17">
        <v>10</v>
      </c>
      <c r="AC17" s="1" t="s">
        <v>71</v>
      </c>
      <c r="AE17" s="1">
        <v>415</v>
      </c>
      <c r="AH17"/>
      <c r="AI17" s="7"/>
      <c r="AM17" s="3"/>
      <c r="AO17"/>
      <c r="AP17"/>
      <c r="AQ17"/>
      <c r="AS17"/>
      <c r="AT17"/>
      <c r="AU17"/>
    </row>
    <row r="18" spans="1:59" x14ac:dyDescent="0.25">
      <c r="A18" s="11" t="s">
        <v>72</v>
      </c>
      <c r="B18" s="12"/>
      <c r="C18" s="12"/>
      <c r="M18" s="5" t="s">
        <v>73</v>
      </c>
      <c r="N18" s="5"/>
      <c r="O18" s="3">
        <v>90</v>
      </c>
      <c r="Q18" s="3" t="s">
        <v>19</v>
      </c>
      <c r="Y18" t="s">
        <v>74</v>
      </c>
      <c r="Z18"/>
      <c r="AA18" s="13">
        <f>ROUND(AA17*AA14,3)</f>
        <v>73.33</v>
      </c>
      <c r="AC18" s="1" t="s">
        <v>76</v>
      </c>
      <c r="AE18" s="1">
        <f>ROUND(AE17/C12,3)</f>
        <v>4.766</v>
      </c>
      <c r="AO18"/>
      <c r="AP18"/>
      <c r="AQ18" s="13"/>
      <c r="AS18"/>
      <c r="AT18"/>
      <c r="AU18" s="13"/>
    </row>
    <row r="19" spans="1:59" ht="15.75" x14ac:dyDescent="0.25">
      <c r="A19" s="12" t="s">
        <v>77</v>
      </c>
      <c r="B19" s="12"/>
      <c r="C19" s="12">
        <v>44.36</v>
      </c>
      <c r="M19" s="1" t="s">
        <v>78</v>
      </c>
      <c r="O19" s="1">
        <v>2.92</v>
      </c>
      <c r="Q19" s="26" t="s">
        <v>79</v>
      </c>
      <c r="S19" s="1">
        <v>7</v>
      </c>
      <c r="U19" s="4" t="s">
        <v>66</v>
      </c>
      <c r="W19" s="3">
        <f>ROUND(((W9+W13+W15+W17)/(C5*C8)),3)</f>
        <v>0.71399999999999997</v>
      </c>
      <c r="Y19" t="s">
        <v>80</v>
      </c>
      <c r="Z19"/>
      <c r="AA19">
        <v>10</v>
      </c>
      <c r="AC19" s="1" t="s">
        <v>82</v>
      </c>
      <c r="AE19" s="1">
        <v>10</v>
      </c>
      <c r="AG19" s="3"/>
      <c r="AK19" s="4"/>
      <c r="AM19" s="3"/>
      <c r="AO19"/>
      <c r="AP19"/>
      <c r="AQ19"/>
      <c r="AS19"/>
      <c r="AT19"/>
      <c r="AU19"/>
      <c r="AY19" s="3"/>
      <c r="BC19" s="3"/>
    </row>
    <row r="20" spans="1:59" ht="15" customHeight="1" x14ac:dyDescent="0.25">
      <c r="A20" s="12" t="s">
        <v>83</v>
      </c>
      <c r="B20" s="12"/>
      <c r="C20" s="12">
        <v>1.8</v>
      </c>
      <c r="D20"/>
      <c r="E20"/>
      <c r="F20"/>
      <c r="G20"/>
      <c r="M20" t="s">
        <v>84</v>
      </c>
      <c r="N20"/>
      <c r="O20">
        <v>4</v>
      </c>
      <c r="Q20" s="26" t="s">
        <v>85</v>
      </c>
      <c r="S20" s="3">
        <v>0</v>
      </c>
      <c r="Y20" t="s">
        <v>86</v>
      </c>
      <c r="Z20"/>
      <c r="AA20" s="13">
        <f>ROUND(AA19*AA14,3)</f>
        <v>73.33</v>
      </c>
      <c r="AC20" s="1" t="s">
        <v>87</v>
      </c>
      <c r="AE20" s="3">
        <f>ROUND(AE18*AE19,3)</f>
        <v>47.66</v>
      </c>
      <c r="AO20"/>
      <c r="AP20"/>
      <c r="AQ20" s="13"/>
      <c r="AS20"/>
      <c r="AT20"/>
      <c r="AU20" s="13"/>
      <c r="BG20" s="3"/>
    </row>
    <row r="21" spans="1:59" ht="15" customHeight="1" x14ac:dyDescent="0.25">
      <c r="A21" s="12" t="s">
        <v>88</v>
      </c>
      <c r="B21" s="12"/>
      <c r="C21" s="12">
        <f>ROUND(C19/C20,3)</f>
        <v>24.643999999999998</v>
      </c>
      <c r="D21"/>
      <c r="E21"/>
      <c r="F21"/>
      <c r="G21"/>
      <c r="M21" t="s">
        <v>89</v>
      </c>
      <c r="N21"/>
      <c r="O21" s="6">
        <f>O20*O19</f>
        <v>11.68</v>
      </c>
      <c r="Q21" s="26" t="s">
        <v>90</v>
      </c>
      <c r="S21" s="1">
        <v>4</v>
      </c>
      <c r="Y21" t="s">
        <v>65</v>
      </c>
      <c r="AA21" s="2">
        <v>2</v>
      </c>
      <c r="AC21" s="1" t="s">
        <v>91</v>
      </c>
      <c r="AE21" s="1">
        <v>40</v>
      </c>
      <c r="AO21"/>
      <c r="AQ21" s="2"/>
      <c r="AS21"/>
      <c r="AU21" s="2"/>
    </row>
    <row r="22" spans="1:59" x14ac:dyDescent="0.25">
      <c r="D22"/>
      <c r="E22"/>
      <c r="F22"/>
      <c r="G22"/>
      <c r="M22" t="s">
        <v>92</v>
      </c>
      <c r="N22"/>
      <c r="O22" s="7">
        <f>O21*O15</f>
        <v>74.016159999999999</v>
      </c>
      <c r="Q22" s="26" t="s">
        <v>93</v>
      </c>
      <c r="S22" s="1">
        <f>S20*S21</f>
        <v>0</v>
      </c>
      <c r="Y22" s="1" t="s">
        <v>68</v>
      </c>
      <c r="AA22" s="3">
        <f>ROUND(AA14*AA21*2,3)</f>
        <v>29.332000000000001</v>
      </c>
      <c r="AC22" s="1" t="s">
        <v>94</v>
      </c>
      <c r="AE22" s="3">
        <f>ROUND(AE18*AE21,3)</f>
        <v>190.64</v>
      </c>
      <c r="AQ22" s="3"/>
      <c r="AU22" s="3"/>
      <c r="BG22" s="3"/>
    </row>
    <row r="23" spans="1:59" x14ac:dyDescent="0.25">
      <c r="A23" s="8" t="s">
        <v>95</v>
      </c>
      <c r="B23" s="9"/>
      <c r="C23" s="9"/>
      <c r="D23"/>
      <c r="E23"/>
      <c r="F23"/>
      <c r="G23"/>
      <c r="M23" t="s">
        <v>96</v>
      </c>
      <c r="O23" s="1">
        <v>17</v>
      </c>
      <c r="Q23" s="26" t="s">
        <v>97</v>
      </c>
      <c r="S23" s="1">
        <f>ROUND(S20*2.2*S22,3)</f>
        <v>0</v>
      </c>
      <c r="AC23" t="s">
        <v>65</v>
      </c>
      <c r="AE23" s="2">
        <v>2</v>
      </c>
      <c r="AY23" s="3"/>
      <c r="BC23" s="3"/>
      <c r="BE23"/>
      <c r="BG23" s="2"/>
    </row>
    <row r="24" spans="1:59" ht="15.75" x14ac:dyDescent="0.25">
      <c r="A24" s="9" t="s">
        <v>77</v>
      </c>
      <c r="B24" s="9"/>
      <c r="C24" s="9">
        <v>11</v>
      </c>
      <c r="D24"/>
      <c r="E24"/>
      <c r="F24"/>
      <c r="G24"/>
      <c r="M24" t="s">
        <v>98</v>
      </c>
      <c r="O24" s="1">
        <f>ROUND(O23*O19,3)</f>
        <v>49.64</v>
      </c>
      <c r="Q24" s="26" t="s">
        <v>99</v>
      </c>
      <c r="S24" s="3">
        <f>ROUND(S23/1.3,3)</f>
        <v>0</v>
      </c>
      <c r="Y24" s="4" t="s">
        <v>66</v>
      </c>
      <c r="AA24" s="3">
        <f>ROUND(((AA11+AA16+AA18+AA22+AA20)/(C5*C8)),3)</f>
        <v>0.82399999999999995</v>
      </c>
      <c r="AC24" s="1" t="s">
        <v>68</v>
      </c>
      <c r="AE24" s="3">
        <f>ROUND(AE18*AE23*2,3)</f>
        <v>19.064</v>
      </c>
      <c r="AO24" s="4"/>
      <c r="AQ24" s="3"/>
      <c r="AS24" s="4"/>
      <c r="AU24" s="3"/>
      <c r="BG24" s="3"/>
    </row>
    <row r="25" spans="1:59" x14ac:dyDescent="0.25">
      <c r="A25" s="9" t="s">
        <v>100</v>
      </c>
      <c r="B25" s="9"/>
      <c r="C25" s="9">
        <v>1.5</v>
      </c>
      <c r="D25"/>
      <c r="E25"/>
      <c r="F25"/>
      <c r="G25"/>
      <c r="M25" t="s">
        <v>101</v>
      </c>
      <c r="O25" s="3">
        <f>ROUND(O24*O15,3)</f>
        <v>314.56900000000002</v>
      </c>
      <c r="Q25" s="26" t="s">
        <v>102</v>
      </c>
      <c r="S25" s="1">
        <v>1.3</v>
      </c>
      <c r="AY25" s="3"/>
      <c r="BC25" s="3"/>
    </row>
    <row r="26" spans="1:59" ht="15.75" x14ac:dyDescent="0.25">
      <c r="A26" s="9" t="s">
        <v>88</v>
      </c>
      <c r="B26" s="10"/>
      <c r="C26" s="10">
        <f>ROUND(C24/C25,3)</f>
        <v>7.3330000000000002</v>
      </c>
      <c r="D26"/>
      <c r="E26"/>
      <c r="F26"/>
      <c r="G26"/>
      <c r="Q26" s="26" t="s">
        <v>103</v>
      </c>
      <c r="S26" s="1">
        <f>ROUND(S25*S19,3)</f>
        <v>9.1</v>
      </c>
      <c r="AC26" s="4" t="s">
        <v>66</v>
      </c>
      <c r="AE26" s="3">
        <f>ROUND(((AE8+AE12+AE14+AE22+AE20+AE24)/(C5*12)),3)</f>
        <v>0.81100000000000005</v>
      </c>
      <c r="AY26" s="3"/>
      <c r="BC26" s="3"/>
      <c r="BE26" s="4"/>
      <c r="BG26" s="3"/>
    </row>
    <row r="27" spans="1:59" ht="15.75" x14ac:dyDescent="0.25">
      <c r="A27"/>
      <c r="B27"/>
      <c r="C27"/>
      <c r="D27"/>
      <c r="E27"/>
      <c r="F27"/>
      <c r="G27"/>
      <c r="M27" s="4" t="s">
        <v>66</v>
      </c>
      <c r="O27" s="3">
        <f>ROUND(((O8+O12+O17+O18+O22+O25)/(C5*C8))/2,3)</f>
        <v>0.69299999999999995</v>
      </c>
      <c r="Q27" s="26" t="s">
        <v>105</v>
      </c>
      <c r="S27" s="1">
        <f>ROUND(((S20*2.2*2)+(S19*1.8))*S26,3)</f>
        <v>114.66</v>
      </c>
      <c r="AW27"/>
      <c r="AY27" s="2"/>
      <c r="BA27"/>
      <c r="BC27" s="2"/>
    </row>
    <row r="28" spans="1:59" x14ac:dyDescent="0.25">
      <c r="A28"/>
      <c r="B28"/>
      <c r="C28"/>
      <c r="D28"/>
      <c r="E28"/>
      <c r="F28"/>
      <c r="G28"/>
      <c r="Q28" s="26" t="s">
        <v>106</v>
      </c>
      <c r="S28" s="3">
        <f>ROUND(S27/1.3,3)</f>
        <v>88.2</v>
      </c>
      <c r="AY28" s="3"/>
      <c r="BC28" s="3"/>
    </row>
    <row r="29" spans="1:59" x14ac:dyDescent="0.25">
      <c r="A29"/>
      <c r="B29"/>
      <c r="C29">
        <f>G17+K17+O27+S30+W19+AA24+AE26</f>
        <v>5.6719999999999997</v>
      </c>
      <c r="D29"/>
      <c r="E29"/>
      <c r="F29"/>
      <c r="G29"/>
    </row>
    <row r="30" spans="1:59" ht="15.75" x14ac:dyDescent="0.25">
      <c r="A30"/>
      <c r="B30"/>
      <c r="C30"/>
      <c r="D30"/>
      <c r="E30"/>
      <c r="F30"/>
      <c r="G30"/>
      <c r="Q30" s="4" t="s">
        <v>66</v>
      </c>
      <c r="S30" s="3">
        <f>ROUND(((S8+S14+S16+S24+S28)/($C$5*$C$9)),3)</f>
        <v>0.77</v>
      </c>
      <c r="U30" s="1" t="s">
        <v>108</v>
      </c>
      <c r="AW30" s="4"/>
      <c r="AY30" s="3"/>
      <c r="BA30" s="4"/>
      <c r="BC30" s="3"/>
    </row>
    <row r="31" spans="1:59" ht="15" customHeight="1" x14ac:dyDescent="0.25">
      <c r="A31"/>
      <c r="B31"/>
      <c r="C31"/>
      <c r="D31"/>
      <c r="E31"/>
      <c r="F31"/>
      <c r="G31"/>
      <c r="Q31" s="4"/>
      <c r="S31" s="3"/>
    </row>
    <row r="32" spans="1:59" ht="15" customHeight="1" x14ac:dyDescent="0.25">
      <c r="A32"/>
      <c r="B32"/>
      <c r="C32"/>
      <c r="D32"/>
      <c r="E32"/>
      <c r="F32"/>
      <c r="G32"/>
    </row>
    <row r="33" spans="1:7" x14ac:dyDescent="0.25">
      <c r="A33"/>
      <c r="B33"/>
      <c r="C33"/>
      <c r="D33"/>
      <c r="E33"/>
      <c r="F33"/>
      <c r="G33"/>
    </row>
    <row r="34" spans="1:7" x14ac:dyDescent="0.25">
      <c r="A34"/>
      <c r="B34"/>
      <c r="C34"/>
      <c r="D34"/>
      <c r="E34"/>
      <c r="F34"/>
      <c r="G34"/>
    </row>
    <row r="35" spans="1:7" x14ac:dyDescent="0.25">
      <c r="A35"/>
      <c r="B35"/>
      <c r="C35" s="46"/>
      <c r="D35" s="46"/>
      <c r="E35" s="46"/>
      <c r="F35" s="46"/>
      <c r="G35" s="46"/>
    </row>
  </sheetData>
  <mergeCells count="18">
    <mergeCell ref="I13:J13"/>
    <mergeCell ref="C35:G35"/>
    <mergeCell ref="AC5:AE5"/>
    <mergeCell ref="U1:AE2"/>
    <mergeCell ref="A1:S2"/>
    <mergeCell ref="BE5:BG5"/>
    <mergeCell ref="E5:G5"/>
    <mergeCell ref="I5:K5"/>
    <mergeCell ref="M5:O5"/>
    <mergeCell ref="U5:W5"/>
    <mergeCell ref="Y5:AA5"/>
    <mergeCell ref="Q5:S5"/>
    <mergeCell ref="AG5:AI5"/>
    <mergeCell ref="AK5:AM5"/>
    <mergeCell ref="AO5:AQ5"/>
    <mergeCell ref="AS5:AU5"/>
    <mergeCell ref="AW5:AY5"/>
    <mergeCell ref="BA5:BC5"/>
  </mergeCells>
  <pageMargins left="0.7" right="0.7" top="0.78740157499999996" bottom="0.78740157499999996" header="0.3" footer="0.3"/>
  <pageSetup paperSize="9" orientation="portrait" r:id="rId1"/>
  <headerFooter>
    <oddHeader>&amp;C&amp;"MS UI Gothic"&amp;10&amp;K000000•• PROTECTED 関係者外秘&amp;1#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07E97-6F8F-4D2C-94E7-087419177E75}">
  <sheetPr>
    <tabColor theme="9" tint="0.39997558519241921"/>
  </sheetPr>
  <dimension ref="A14:F38"/>
  <sheetViews>
    <sheetView topLeftCell="A4" zoomScale="115" zoomScaleNormal="115" workbookViewId="0">
      <selection activeCell="D30" activeCellId="1" sqref="D26 D30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44.36</v>
      </c>
      <c r="E14" t="s">
        <v>449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24.643999999999998</v>
      </c>
      <c r="E16" t="s">
        <v>220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1725.08</v>
      </c>
      <c r="E21" t="s">
        <v>311</v>
      </c>
    </row>
    <row r="22" spans="1:5" x14ac:dyDescent="0.25">
      <c r="A22" s="32" t="s">
        <v>119</v>
      </c>
      <c r="B22" s="12"/>
      <c r="C22" s="11"/>
      <c r="D22" s="19">
        <f>ROUND(D21/D17,3)</f>
        <v>932.476</v>
      </c>
      <c r="E22" t="s">
        <v>221</v>
      </c>
    </row>
    <row r="24" spans="1:5" x14ac:dyDescent="0.25">
      <c r="A24" s="21" t="s">
        <v>121</v>
      </c>
      <c r="B24" s="10"/>
      <c r="C24" s="10"/>
      <c r="D24" s="10"/>
      <c r="E24" t="s">
        <v>388</v>
      </c>
    </row>
    <row r="25" spans="1:5" x14ac:dyDescent="0.25">
      <c r="A25" s="33" t="s">
        <v>122</v>
      </c>
      <c r="B25" s="10"/>
      <c r="C25" s="10"/>
      <c r="D25" s="10">
        <v>12</v>
      </c>
    </row>
    <row r="26" spans="1:5" x14ac:dyDescent="0.25">
      <c r="A26" s="33" t="s">
        <v>123</v>
      </c>
      <c r="B26" s="10"/>
      <c r="C26" s="10"/>
      <c r="D26" s="21">
        <f>D25*D16</f>
        <v>295.72799999999995</v>
      </c>
      <c r="E26" t="s">
        <v>312</v>
      </c>
    </row>
    <row r="28" spans="1:5" x14ac:dyDescent="0.25">
      <c r="A28" s="21" t="s">
        <v>124</v>
      </c>
      <c r="B28" s="10"/>
      <c r="C28" s="10"/>
      <c r="D28" s="10"/>
      <c r="E28" t="s">
        <v>389</v>
      </c>
    </row>
    <row r="29" spans="1:5" x14ac:dyDescent="0.25">
      <c r="A29" s="33" t="s">
        <v>125</v>
      </c>
      <c r="B29" s="10"/>
      <c r="C29" s="10"/>
      <c r="D29" s="10">
        <v>20</v>
      </c>
    </row>
    <row r="30" spans="1:5" x14ac:dyDescent="0.25">
      <c r="A30" s="33" t="s">
        <v>126</v>
      </c>
      <c r="B30" s="10"/>
      <c r="C30" s="10"/>
      <c r="D30" s="21">
        <f>D29*D14</f>
        <v>887.2</v>
      </c>
      <c r="E30" t="s">
        <v>450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28">
        <f>ROUND(((D22+D26+D30)/(72*10.885))/3,3)</f>
        <v>0.9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4D738-E6B0-453D-9397-990382FD9CA4}">
  <sheetPr>
    <tabColor theme="9" tint="0.39997558519241921"/>
  </sheetPr>
  <dimension ref="A14:F38"/>
  <sheetViews>
    <sheetView showRuler="0" zoomScaleNormal="100" workbookViewId="0">
      <selection activeCell="D30" activeCellId="1" sqref="D26 D30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44.36</v>
      </c>
      <c r="E14" t="s">
        <v>449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24.643999999999998</v>
      </c>
      <c r="E16" t="s">
        <v>220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30</v>
      </c>
      <c r="E20" t="s">
        <v>390</v>
      </c>
    </row>
    <row r="21" spans="1:5" x14ac:dyDescent="0.25">
      <c r="A21" s="32" t="s">
        <v>118</v>
      </c>
      <c r="B21" s="12"/>
      <c r="C21" s="18"/>
      <c r="D21" s="12">
        <f>60*D16</f>
        <v>1478.6399999999999</v>
      </c>
      <c r="E21" t="s">
        <v>313</v>
      </c>
    </row>
    <row r="22" spans="1:5" x14ac:dyDescent="0.25">
      <c r="A22" s="32" t="s">
        <v>119</v>
      </c>
      <c r="B22" s="12"/>
      <c r="C22" s="11"/>
      <c r="D22" s="19">
        <f>ROUND(D21/D17,3)</f>
        <v>799.26499999999999</v>
      </c>
      <c r="E22" t="s">
        <v>222</v>
      </c>
    </row>
    <row r="24" spans="1:5" x14ac:dyDescent="0.25">
      <c r="A24" s="21" t="s">
        <v>128</v>
      </c>
      <c r="B24" s="10"/>
      <c r="C24" s="10"/>
      <c r="D24" s="10"/>
      <c r="E24" t="s">
        <v>391</v>
      </c>
    </row>
    <row r="25" spans="1:5" x14ac:dyDescent="0.25">
      <c r="A25" s="33" t="s">
        <v>122</v>
      </c>
      <c r="B25" s="10"/>
      <c r="C25" s="10"/>
      <c r="D25" s="10">
        <v>7</v>
      </c>
    </row>
    <row r="26" spans="1:5" x14ac:dyDescent="0.25">
      <c r="A26" s="33" t="s">
        <v>123</v>
      </c>
      <c r="B26" s="10"/>
      <c r="C26" s="10"/>
      <c r="D26" s="21">
        <f>D25*D16</f>
        <v>172.50799999999998</v>
      </c>
      <c r="E26" t="s">
        <v>314</v>
      </c>
    </row>
    <row r="28" spans="1:5" x14ac:dyDescent="0.25">
      <c r="A28" s="21" t="s">
        <v>129</v>
      </c>
      <c r="B28" s="10"/>
      <c r="C28" s="10"/>
      <c r="D28" s="10"/>
      <c r="E28" t="s">
        <v>429</v>
      </c>
    </row>
    <row r="29" spans="1:5" x14ac:dyDescent="0.25">
      <c r="A29" s="33" t="s">
        <v>130</v>
      </c>
      <c r="B29" s="10"/>
      <c r="C29" s="10"/>
      <c r="D29" s="10">
        <v>12</v>
      </c>
    </row>
    <row r="30" spans="1:5" x14ac:dyDescent="0.25">
      <c r="A30" s="33" t="s">
        <v>131</v>
      </c>
      <c r="B30" s="10"/>
      <c r="C30" s="10"/>
      <c r="D30" s="21">
        <f>D29*D14</f>
        <v>532.31999999999994</v>
      </c>
      <c r="E30" t="s">
        <v>315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ROUND(((D22+D26+D30)/(72*10.885))/2,3)</f>
        <v>0.96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14783-21AD-44D3-A76E-36E285761037}">
  <sheetPr codeName="List2">
    <tabColor rgb="FFEE5454"/>
  </sheetPr>
  <dimension ref="A12:F38"/>
  <sheetViews>
    <sheetView tabSelected="1" topLeftCell="A4" zoomScale="85" zoomScaleNormal="85" workbookViewId="0">
      <selection activeCell="R39" sqref="R39"/>
    </sheetView>
  </sheetViews>
  <sheetFormatPr defaultRowHeight="15" x14ac:dyDescent="0.25"/>
  <cols>
    <col min="3" max="3" width="8.5703125" customWidth="1"/>
    <col min="5" max="5" width="9.28515625" customWidth="1"/>
  </cols>
  <sheetData>
    <row r="12" spans="1:5" x14ac:dyDescent="0.25">
      <c r="A12" t="s">
        <v>113</v>
      </c>
      <c r="D12">
        <f>'WL DP SS'!C19</f>
        <v>44.86</v>
      </c>
      <c r="E12" t="s">
        <v>386</v>
      </c>
    </row>
    <row r="13" spans="1:5" x14ac:dyDescent="0.25">
      <c r="A13" t="s">
        <v>114</v>
      </c>
      <c r="D13">
        <f>'WL DP SS'!C20</f>
        <v>1.8</v>
      </c>
      <c r="E13" t="s">
        <v>430</v>
      </c>
    </row>
    <row r="14" spans="1:5" x14ac:dyDescent="0.25">
      <c r="A14" t="s">
        <v>88</v>
      </c>
      <c r="D14">
        <f>ROUND(D12/D13,3)</f>
        <v>24.922000000000001</v>
      </c>
      <c r="E14" t="str">
        <f>CONCATENATE("= ",D12,"/",D13)</f>
        <v>= 44,86/1,8</v>
      </c>
    </row>
    <row r="15" spans="1:5" x14ac:dyDescent="0.25">
      <c r="A15" t="s">
        <v>116</v>
      </c>
      <c r="D15">
        <f>'WL DP SS'!C14</f>
        <v>1.85</v>
      </c>
    </row>
    <row r="17" spans="1:5" x14ac:dyDescent="0.25">
      <c r="A17" s="11" t="s">
        <v>18</v>
      </c>
      <c r="B17" s="12"/>
      <c r="C17" s="12"/>
      <c r="D17" s="18"/>
    </row>
    <row r="18" spans="1:5" x14ac:dyDescent="0.25">
      <c r="A18" s="32" t="s">
        <v>117</v>
      </c>
      <c r="B18" s="12"/>
      <c r="C18" s="18"/>
      <c r="D18" s="12">
        <v>35</v>
      </c>
      <c r="E18" t="s">
        <v>387</v>
      </c>
    </row>
    <row r="19" spans="1:5" x14ac:dyDescent="0.25">
      <c r="A19" s="32" t="s">
        <v>118</v>
      </c>
      <c r="B19" s="12"/>
      <c r="C19" s="18"/>
      <c r="D19" s="12">
        <f>70*D14</f>
        <v>1744.54</v>
      </c>
      <c r="E19" t="s">
        <v>245</v>
      </c>
    </row>
    <row r="20" spans="1:5" x14ac:dyDescent="0.25">
      <c r="A20" s="32" t="s">
        <v>119</v>
      </c>
      <c r="B20" s="12"/>
      <c r="C20" s="11"/>
      <c r="D20" s="19">
        <f>ROUND(D19/D15,3)</f>
        <v>942.995</v>
      </c>
      <c r="E20" t="s">
        <v>120</v>
      </c>
    </row>
    <row r="22" spans="1:5" x14ac:dyDescent="0.25">
      <c r="A22" s="21" t="s">
        <v>121</v>
      </c>
      <c r="B22" s="10"/>
      <c r="C22" s="10"/>
      <c r="D22" s="10"/>
      <c r="E22" t="s">
        <v>388</v>
      </c>
    </row>
    <row r="23" spans="1:5" x14ac:dyDescent="0.25">
      <c r="A23" s="33" t="s">
        <v>122</v>
      </c>
      <c r="B23" s="10"/>
      <c r="C23" s="10"/>
      <c r="D23" s="10">
        <v>12</v>
      </c>
    </row>
    <row r="24" spans="1:5" x14ac:dyDescent="0.25">
      <c r="A24" s="33" t="s">
        <v>123</v>
      </c>
      <c r="B24" s="10"/>
      <c r="C24" s="10"/>
      <c r="D24" s="21">
        <f>D23*D14</f>
        <v>299.06400000000002</v>
      </c>
      <c r="E24" t="s">
        <v>246</v>
      </c>
    </row>
    <row r="26" spans="1:5" x14ac:dyDescent="0.25">
      <c r="A26" s="21" t="s">
        <v>124</v>
      </c>
      <c r="B26" s="10"/>
      <c r="C26" s="10"/>
      <c r="D26" s="10"/>
      <c r="E26" t="s">
        <v>389</v>
      </c>
    </row>
    <row r="27" spans="1:5" x14ac:dyDescent="0.25">
      <c r="A27" s="33" t="s">
        <v>125</v>
      </c>
      <c r="B27" s="10"/>
      <c r="C27" s="10"/>
      <c r="D27" s="10">
        <v>20</v>
      </c>
    </row>
    <row r="28" spans="1:5" x14ac:dyDescent="0.25">
      <c r="A28" s="33" t="s">
        <v>126</v>
      </c>
      <c r="B28" s="10"/>
      <c r="C28" s="10"/>
      <c r="D28" s="21">
        <f>D27*D12</f>
        <v>897.2</v>
      </c>
      <c r="E28" t="s">
        <v>247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ROUND(((D20+D24+D28)/(72*10.885))/3,3)</f>
        <v>0.91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1474-2DA5-45D1-B7BF-B4D7472FF9A7}">
  <sheetPr>
    <tabColor theme="9" tint="0.39997558519241921"/>
  </sheetPr>
  <dimension ref="A14:F48"/>
  <sheetViews>
    <sheetView showRuler="0" topLeftCell="A10" zoomScale="85" zoomScaleNormal="85" workbookViewId="0">
      <selection activeCell="D26" activeCellId="1" sqref="D21 D26"/>
    </sheetView>
  </sheetViews>
  <sheetFormatPr defaultRowHeight="15" x14ac:dyDescent="0.25"/>
  <cols>
    <col min="3" max="3" width="9.28515625" customWidth="1"/>
    <col min="4" max="4" width="8" customWidth="1"/>
    <col min="5" max="5" width="9.28515625" customWidth="1"/>
  </cols>
  <sheetData>
    <row r="14" spans="1:6" x14ac:dyDescent="0.25">
      <c r="A14" t="s">
        <v>113</v>
      </c>
      <c r="D14">
        <v>44.36</v>
      </c>
      <c r="E14" t="s">
        <v>449</v>
      </c>
    </row>
    <row r="15" spans="1:6" x14ac:dyDescent="0.25">
      <c r="A15" t="s">
        <v>132</v>
      </c>
      <c r="D15">
        <f>ROUND(D14/7,3)</f>
        <v>6.3369999999999997</v>
      </c>
      <c r="E15" t="s">
        <v>223</v>
      </c>
      <c r="F15" t="s">
        <v>431</v>
      </c>
    </row>
    <row r="16" spans="1:6" x14ac:dyDescent="0.25">
      <c r="A16" t="s">
        <v>134</v>
      </c>
      <c r="D16" s="1">
        <v>2.92</v>
      </c>
      <c r="E16" t="s">
        <v>451</v>
      </c>
    </row>
    <row r="17" spans="1:5" x14ac:dyDescent="0.25">
      <c r="A17" s="26" t="s">
        <v>135</v>
      </c>
      <c r="B17" s="1"/>
      <c r="D17" s="1">
        <v>1.3</v>
      </c>
    </row>
    <row r="19" spans="1:5" x14ac:dyDescent="0.25">
      <c r="A19" s="23" t="s">
        <v>136</v>
      </c>
      <c r="B19" s="14"/>
      <c r="C19" s="14"/>
      <c r="D19" s="15"/>
      <c r="E19" t="s">
        <v>393</v>
      </c>
    </row>
    <row r="20" spans="1:5" x14ac:dyDescent="0.25">
      <c r="A20" s="34" t="s">
        <v>117</v>
      </c>
      <c r="B20" s="14"/>
      <c r="C20" s="15"/>
      <c r="D20" s="14">
        <v>40</v>
      </c>
      <c r="E20" t="s">
        <v>394</v>
      </c>
    </row>
    <row r="21" spans="1:5" x14ac:dyDescent="0.25">
      <c r="A21" s="34" t="s">
        <v>137</v>
      </c>
      <c r="B21" s="14"/>
      <c r="C21" s="23"/>
      <c r="D21" s="24">
        <f>ROUND(D20/D17,3)</f>
        <v>30.768999999999998</v>
      </c>
      <c r="E21" t="s">
        <v>138</v>
      </c>
    </row>
    <row r="23" spans="1:5" x14ac:dyDescent="0.25">
      <c r="A23" s="23" t="s">
        <v>139</v>
      </c>
      <c r="B23" s="14"/>
      <c r="C23" s="14"/>
      <c r="D23" s="15"/>
      <c r="E23" t="s">
        <v>395</v>
      </c>
    </row>
    <row r="24" spans="1:5" x14ac:dyDescent="0.25">
      <c r="A24" s="34" t="s">
        <v>117</v>
      </c>
      <c r="B24" s="14"/>
      <c r="C24" s="15"/>
      <c r="D24" s="14">
        <v>16</v>
      </c>
      <c r="E24" t="s">
        <v>396</v>
      </c>
    </row>
    <row r="25" spans="1:5" x14ac:dyDescent="0.25">
      <c r="A25" s="34" t="s">
        <v>118</v>
      </c>
      <c r="B25" s="15"/>
      <c r="C25" s="15"/>
      <c r="D25" s="15">
        <f>D24*D16*D15</f>
        <v>296.06464</v>
      </c>
      <c r="E25" t="s">
        <v>371</v>
      </c>
    </row>
    <row r="26" spans="1:5" x14ac:dyDescent="0.25">
      <c r="A26" s="34" t="s">
        <v>137</v>
      </c>
      <c r="B26" s="14"/>
      <c r="C26" s="23"/>
      <c r="D26" s="29">
        <f>D25/D17</f>
        <v>227.74203076923075</v>
      </c>
      <c r="E26" t="s">
        <v>373</v>
      </c>
    </row>
    <row r="28" spans="1:5" x14ac:dyDescent="0.25">
      <c r="A28" s="21" t="s">
        <v>141</v>
      </c>
      <c r="B28" s="10"/>
      <c r="C28" s="10"/>
      <c r="D28" s="10"/>
    </row>
    <row r="29" spans="1:5" x14ac:dyDescent="0.25">
      <c r="A29" s="33" t="s">
        <v>142</v>
      </c>
      <c r="B29" s="10"/>
      <c r="C29" s="10"/>
      <c r="D29" s="10">
        <v>55</v>
      </c>
    </row>
    <row r="30" spans="1:5" x14ac:dyDescent="0.25">
      <c r="A30" s="33" t="s">
        <v>143</v>
      </c>
      <c r="B30" s="10"/>
      <c r="C30" s="10"/>
      <c r="D30" s="21">
        <f>D29*D15</f>
        <v>348.53499999999997</v>
      </c>
      <c r="E30" t="s">
        <v>316</v>
      </c>
    </row>
    <row r="32" spans="1:5" x14ac:dyDescent="0.25">
      <c r="A32" s="21" t="s">
        <v>144</v>
      </c>
      <c r="B32" s="10"/>
      <c r="C32" s="10"/>
      <c r="D32" s="10"/>
      <c r="E32" t="s">
        <v>397</v>
      </c>
    </row>
    <row r="33" spans="1:6" x14ac:dyDescent="0.25">
      <c r="A33" s="33" t="s">
        <v>145</v>
      </c>
      <c r="B33" s="10"/>
      <c r="C33" s="10"/>
      <c r="D33" s="21">
        <v>90</v>
      </c>
    </row>
    <row r="34" spans="1:6" ht="15.75" x14ac:dyDescent="0.25">
      <c r="F34" s="22"/>
    </row>
    <row r="35" spans="1:6" x14ac:dyDescent="0.25">
      <c r="A35" s="21" t="s">
        <v>146</v>
      </c>
      <c r="B35" s="10"/>
      <c r="C35" s="10"/>
      <c r="D35" s="10"/>
      <c r="E35" t="s">
        <v>398</v>
      </c>
    </row>
    <row r="36" spans="1:6" x14ac:dyDescent="0.25">
      <c r="A36" s="33" t="s">
        <v>147</v>
      </c>
      <c r="B36" s="10"/>
      <c r="C36" s="10"/>
      <c r="D36" s="10">
        <v>4</v>
      </c>
    </row>
    <row r="37" spans="1:6" x14ac:dyDescent="0.25">
      <c r="A37" s="33" t="s">
        <v>148</v>
      </c>
      <c r="B37" s="10"/>
      <c r="C37" s="10"/>
      <c r="D37" s="21">
        <f>D36*D16*D15</f>
        <v>74.016159999999999</v>
      </c>
      <c r="E37" t="s">
        <v>452</v>
      </c>
    </row>
    <row r="39" spans="1:6" x14ac:dyDescent="0.25">
      <c r="A39" s="21" t="s">
        <v>149</v>
      </c>
      <c r="B39" s="10"/>
      <c r="C39" s="10"/>
      <c r="D39" s="10"/>
      <c r="E39" t="s">
        <v>399</v>
      </c>
    </row>
    <row r="40" spans="1:6" x14ac:dyDescent="0.25">
      <c r="A40" s="33" t="s">
        <v>150</v>
      </c>
      <c r="B40" s="10"/>
      <c r="C40" s="10"/>
      <c r="D40" s="10">
        <v>17</v>
      </c>
    </row>
    <row r="41" spans="1:6" x14ac:dyDescent="0.25">
      <c r="A41" s="33" t="s">
        <v>148</v>
      </c>
      <c r="B41" s="10"/>
      <c r="C41" s="10"/>
      <c r="D41" s="21">
        <f>ROUND(D40*D16*D15,3)</f>
        <v>314.56900000000002</v>
      </c>
      <c r="E41" t="s">
        <v>453</v>
      </c>
    </row>
    <row r="48" spans="1:6" ht="15.75" x14ac:dyDescent="0.25">
      <c r="A48" s="4" t="s">
        <v>66</v>
      </c>
      <c r="B48" s="1"/>
      <c r="C48" s="3">
        <f>ROUND(((D21+D26+D30+D33+D37+D41)/(72*10.885))/2,3)</f>
        <v>0.69299999999999995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356F-5F3D-45B0-AC48-ABDE3BBFFF00}">
  <sheetPr>
    <tabColor theme="9" tint="0.39997558519241921"/>
  </sheetPr>
  <dimension ref="A14:E48"/>
  <sheetViews>
    <sheetView showRuler="0" topLeftCell="A4" zoomScale="85" zoomScaleNormal="85" workbookViewId="0">
      <selection activeCell="D38" activeCellId="1" sqref="D34 D38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4" x14ac:dyDescent="0.25">
      <c r="A14" s="26"/>
      <c r="B14" s="1"/>
      <c r="D14" s="1"/>
    </row>
    <row r="17" spans="1:5" x14ac:dyDescent="0.25">
      <c r="A17" t="s">
        <v>151</v>
      </c>
      <c r="D17">
        <v>35.979999999999997</v>
      </c>
      <c r="E17" s="25" t="s">
        <v>474</v>
      </c>
    </row>
    <row r="18" spans="1:5" x14ac:dyDescent="0.25">
      <c r="A18" t="s">
        <v>153</v>
      </c>
      <c r="D18">
        <v>6</v>
      </c>
      <c r="E18" t="s">
        <v>454</v>
      </c>
    </row>
    <row r="19" spans="1:5" x14ac:dyDescent="0.25">
      <c r="A19" t="s">
        <v>155</v>
      </c>
      <c r="D19">
        <v>1.3</v>
      </c>
      <c r="E19" t="s">
        <v>402</v>
      </c>
    </row>
    <row r="20" spans="1:5" x14ac:dyDescent="0.25">
      <c r="A20" s="26" t="s">
        <v>156</v>
      </c>
      <c r="B20" s="1"/>
      <c r="D20" s="1">
        <v>1.67</v>
      </c>
    </row>
    <row r="21" spans="1:5" x14ac:dyDescent="0.25">
      <c r="A21" s="26" t="s">
        <v>135</v>
      </c>
      <c r="B21" s="1"/>
      <c r="D21" s="1">
        <v>1.3</v>
      </c>
    </row>
    <row r="23" spans="1:5" x14ac:dyDescent="0.25">
      <c r="A23" s="11" t="s">
        <v>18</v>
      </c>
      <c r="B23" s="12"/>
      <c r="C23" s="12"/>
      <c r="D23" s="18"/>
    </row>
    <row r="24" spans="1:5" x14ac:dyDescent="0.25">
      <c r="A24" s="32" t="s">
        <v>117</v>
      </c>
      <c r="B24" s="12"/>
      <c r="C24" s="18"/>
      <c r="D24" s="12">
        <v>1180</v>
      </c>
    </row>
    <row r="25" spans="1:5" x14ac:dyDescent="0.25">
      <c r="A25" s="32" t="s">
        <v>119</v>
      </c>
      <c r="B25" s="12"/>
      <c r="C25" s="11"/>
      <c r="D25" s="19">
        <f>ROUND(D24/D20,3)</f>
        <v>706.58699999999999</v>
      </c>
      <c r="E25" t="s">
        <v>172</v>
      </c>
    </row>
    <row r="27" spans="1:5" x14ac:dyDescent="0.25">
      <c r="A27" s="23" t="s">
        <v>162</v>
      </c>
      <c r="B27" s="14"/>
      <c r="C27" s="14"/>
      <c r="D27" s="15"/>
      <c r="E27" t="s">
        <v>412</v>
      </c>
    </row>
    <row r="28" spans="1:5" x14ac:dyDescent="0.25">
      <c r="A28" s="34" t="s">
        <v>159</v>
      </c>
      <c r="B28" s="14"/>
      <c r="C28" s="15"/>
      <c r="D28" s="14">
        <f>D18*D19</f>
        <v>7.8000000000000007</v>
      </c>
      <c r="E28" t="s">
        <v>317</v>
      </c>
    </row>
    <row r="29" spans="1:5" x14ac:dyDescent="0.25">
      <c r="A29" s="15" t="s">
        <v>160</v>
      </c>
      <c r="B29" s="15"/>
      <c r="C29" s="15"/>
      <c r="D29" s="15">
        <f>ROUND(D18*1.8*D28,3)</f>
        <v>84.24</v>
      </c>
      <c r="E29" t="s">
        <v>455</v>
      </c>
    </row>
    <row r="30" spans="1:5" x14ac:dyDescent="0.25">
      <c r="A30" s="34" t="s">
        <v>137</v>
      </c>
      <c r="B30" s="14"/>
      <c r="C30" s="23"/>
      <c r="D30" s="24">
        <f>ROUND(D29/D21,3)</f>
        <v>64.8</v>
      </c>
      <c r="E30" t="s">
        <v>216</v>
      </c>
    </row>
    <row r="32" spans="1:5" x14ac:dyDescent="0.25">
      <c r="A32" s="21" t="s">
        <v>164</v>
      </c>
      <c r="B32" s="10"/>
      <c r="C32" s="10"/>
      <c r="D32" s="10"/>
      <c r="E32" t="s">
        <v>406</v>
      </c>
    </row>
    <row r="33" spans="1:5" x14ac:dyDescent="0.25">
      <c r="A33" s="33" t="s">
        <v>165</v>
      </c>
      <c r="B33" s="10"/>
      <c r="C33" s="10"/>
      <c r="D33" s="10">
        <v>9</v>
      </c>
      <c r="E33" t="s">
        <v>407</v>
      </c>
    </row>
    <row r="34" spans="1:5" x14ac:dyDescent="0.25">
      <c r="A34" s="33" t="s">
        <v>166</v>
      </c>
      <c r="B34" s="10"/>
      <c r="C34" s="10"/>
      <c r="D34" s="21">
        <f>D33*D17</f>
        <v>323.82</v>
      </c>
      <c r="E34" t="s">
        <v>318</v>
      </c>
    </row>
    <row r="36" spans="1:5" x14ac:dyDescent="0.25">
      <c r="A36" s="21" t="s">
        <v>167</v>
      </c>
      <c r="B36" s="10"/>
      <c r="C36" s="10"/>
      <c r="D36" s="10"/>
      <c r="E36" t="s">
        <v>409</v>
      </c>
    </row>
    <row r="37" spans="1:5" x14ac:dyDescent="0.25">
      <c r="A37" s="33" t="s">
        <v>168</v>
      </c>
      <c r="B37" s="10"/>
      <c r="C37" s="10"/>
      <c r="D37" s="10">
        <v>6</v>
      </c>
      <c r="E37" t="s">
        <v>108</v>
      </c>
    </row>
    <row r="38" spans="1:5" x14ac:dyDescent="0.25">
      <c r="A38" s="33" t="s">
        <v>169</v>
      </c>
      <c r="B38" s="10"/>
      <c r="C38" s="10"/>
      <c r="D38" s="21">
        <f>D37*D18</f>
        <v>36</v>
      </c>
      <c r="E38" t="s">
        <v>292</v>
      </c>
    </row>
    <row r="48" spans="1:5" ht="15.75" x14ac:dyDescent="0.25">
      <c r="A48" s="4" t="s">
        <v>66</v>
      </c>
      <c r="B48" s="1"/>
      <c r="C48" s="3">
        <f>ROUND(((D25+D30+D34+D38)/(72*21.771)),3)</f>
        <v>0.72199999999999998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2B208-D817-4217-9903-BF1CB365E4B4}">
  <sheetPr>
    <tabColor theme="9" tint="0.39997558519241921"/>
  </sheetPr>
  <dimension ref="A14:F48"/>
  <sheetViews>
    <sheetView zoomScaleNormal="100" workbookViewId="0">
      <selection activeCell="D26" activeCellId="2" sqref="D30 D34 D26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11.343999999999999</v>
      </c>
      <c r="E14" s="25" t="s">
        <v>456</v>
      </c>
    </row>
    <row r="15" spans="1:5" x14ac:dyDescent="0.25">
      <c r="A15" t="s">
        <v>114</v>
      </c>
      <c r="D15">
        <v>1.5</v>
      </c>
      <c r="E15" t="s">
        <v>430</v>
      </c>
    </row>
    <row r="16" spans="1:5" x14ac:dyDescent="0.25">
      <c r="A16" t="s">
        <v>88</v>
      </c>
      <c r="D16">
        <f>ROUND(D14/D15,3)</f>
        <v>7.5629999999999997</v>
      </c>
      <c r="E16" t="s">
        <v>224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529.41</v>
      </c>
      <c r="E21" t="s">
        <v>319</v>
      </c>
    </row>
    <row r="22" spans="1:5" x14ac:dyDescent="0.25">
      <c r="A22" s="32" t="s">
        <v>119</v>
      </c>
      <c r="B22" s="12"/>
      <c r="C22" s="11"/>
      <c r="D22" s="19">
        <f>ROUND(D21/D17,3)</f>
        <v>286.16800000000001</v>
      </c>
      <c r="E22" t="s">
        <v>225</v>
      </c>
    </row>
    <row r="24" spans="1:5" x14ac:dyDescent="0.25">
      <c r="A24" s="21" t="s">
        <v>178</v>
      </c>
      <c r="B24" s="10"/>
      <c r="C24" s="10"/>
      <c r="D24" s="10"/>
      <c r="E24" t="s">
        <v>415</v>
      </c>
    </row>
    <row r="25" spans="1:5" x14ac:dyDescent="0.25">
      <c r="A25" s="33" t="s">
        <v>122</v>
      </c>
      <c r="B25" s="10"/>
      <c r="C25" s="10"/>
      <c r="D25" s="10">
        <v>10</v>
      </c>
    </row>
    <row r="26" spans="1:5" x14ac:dyDescent="0.25">
      <c r="A26" s="33" t="s">
        <v>123</v>
      </c>
      <c r="B26" s="10"/>
      <c r="C26" s="10"/>
      <c r="D26" s="21">
        <f>D25*D16</f>
        <v>75.63</v>
      </c>
      <c r="E26" t="s">
        <v>320</v>
      </c>
    </row>
    <row r="28" spans="1:5" x14ac:dyDescent="0.25">
      <c r="A28" s="21" t="s">
        <v>179</v>
      </c>
      <c r="B28" s="10"/>
      <c r="C28" s="10"/>
      <c r="D28" s="10"/>
      <c r="E28" t="s">
        <v>416</v>
      </c>
    </row>
    <row r="29" spans="1:5" x14ac:dyDescent="0.25">
      <c r="A29" s="33" t="s">
        <v>125</v>
      </c>
      <c r="B29" s="10"/>
      <c r="C29" s="10"/>
      <c r="D29" s="10">
        <v>15</v>
      </c>
    </row>
    <row r="30" spans="1:5" x14ac:dyDescent="0.25">
      <c r="A30" s="33" t="s">
        <v>126</v>
      </c>
      <c r="B30" s="10"/>
      <c r="C30" s="10"/>
      <c r="D30" s="21">
        <f>D29*D14</f>
        <v>170.16</v>
      </c>
      <c r="E30" t="s">
        <v>321</v>
      </c>
    </row>
    <row r="32" spans="1:5" x14ac:dyDescent="0.25">
      <c r="A32" s="21" t="s">
        <v>180</v>
      </c>
      <c r="B32" s="10"/>
      <c r="C32" s="10"/>
      <c r="D32" s="10"/>
      <c r="E32" t="s">
        <v>417</v>
      </c>
    </row>
    <row r="33" spans="1:6" x14ac:dyDescent="0.25">
      <c r="A33" s="33" t="s">
        <v>181</v>
      </c>
      <c r="B33" s="10"/>
      <c r="C33" s="10"/>
      <c r="D33" s="10">
        <v>2</v>
      </c>
    </row>
    <row r="34" spans="1:6" x14ac:dyDescent="0.25">
      <c r="A34" s="33" t="s">
        <v>182</v>
      </c>
      <c r="B34" s="10"/>
      <c r="C34" s="10"/>
      <c r="D34" s="21">
        <f>D33*D14*2</f>
        <v>45.375999999999998</v>
      </c>
      <c r="E34" t="s">
        <v>322</v>
      </c>
    </row>
    <row r="37" spans="1:6" ht="15.75" x14ac:dyDescent="0.25">
      <c r="E37" s="22"/>
    </row>
    <row r="38" spans="1:6" ht="15.75" x14ac:dyDescent="0.25">
      <c r="F38" s="22"/>
    </row>
    <row r="48" spans="1:6" ht="15.75" x14ac:dyDescent="0.25">
      <c r="A48" s="4" t="s">
        <v>66</v>
      </c>
      <c r="B48" s="1"/>
      <c r="C48" s="3">
        <f>ROUND(((D22+D26+D30+D34)/(72*10.885)),3)</f>
        <v>0.73699999999999999</v>
      </c>
    </row>
  </sheetData>
  <pageMargins left="0.19685039370078741" right="0.19685039370078741" top="0.19685039370078741" bottom="0.19685039370078741" header="0" footer="0"/>
  <pageSetup paperSize="9" scale="75" orientation="portrait" r:id="rId1"/>
  <headerFooter>
    <oddHeader>&amp;C&amp;"MS UI Gothic"&amp;10&amp;K000000•• PROTECTED 関係者外秘&amp;1#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0DF21-D59F-4BF4-BCEE-F41AE03FDC45}">
  <sheetPr>
    <tabColor theme="9" tint="0.39997558519241921"/>
  </sheetPr>
  <dimension ref="A14:F48"/>
  <sheetViews>
    <sheetView showRuler="0" zoomScale="85" zoomScaleNormal="85" workbookViewId="0">
      <selection activeCell="D41" activeCellId="3" sqref="D29 D33 D37 D41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7.6769999999999996</v>
      </c>
      <c r="E14" s="25" t="s">
        <v>457</v>
      </c>
    </row>
    <row r="15" spans="1:5" x14ac:dyDescent="0.25">
      <c r="A15" t="s">
        <v>116</v>
      </c>
      <c r="D15">
        <v>1.85</v>
      </c>
    </row>
    <row r="17" spans="1:5" x14ac:dyDescent="0.25">
      <c r="A17" s="11" t="s">
        <v>183</v>
      </c>
      <c r="B17" s="12"/>
      <c r="C17" s="12"/>
      <c r="D17" s="18"/>
      <c r="E17" t="s">
        <v>418</v>
      </c>
    </row>
    <row r="18" spans="1:5" x14ac:dyDescent="0.25">
      <c r="A18" s="32" t="s">
        <v>117</v>
      </c>
      <c r="B18" s="12"/>
      <c r="C18" s="18"/>
      <c r="D18" s="12">
        <v>30</v>
      </c>
      <c r="E18" t="s">
        <v>390</v>
      </c>
    </row>
    <row r="19" spans="1:5" x14ac:dyDescent="0.25">
      <c r="A19" s="32" t="s">
        <v>118</v>
      </c>
      <c r="B19" s="12"/>
      <c r="C19" s="18"/>
      <c r="D19" s="12">
        <f>60*D14</f>
        <v>460.62</v>
      </c>
      <c r="E19" t="s">
        <v>323</v>
      </c>
    </row>
    <row r="20" spans="1:5" x14ac:dyDescent="0.25">
      <c r="A20" s="32" t="s">
        <v>119</v>
      </c>
      <c r="B20" s="12"/>
      <c r="C20" s="11"/>
      <c r="D20" s="19">
        <f>ROUND(D19/D15,3)</f>
        <v>248.98400000000001</v>
      </c>
      <c r="E20" t="s">
        <v>226</v>
      </c>
    </row>
    <row r="22" spans="1:5" x14ac:dyDescent="0.25">
      <c r="A22" s="11" t="s">
        <v>185</v>
      </c>
      <c r="B22" s="12"/>
      <c r="C22" s="12"/>
      <c r="D22" s="18"/>
      <c r="E22" t="s">
        <v>419</v>
      </c>
    </row>
    <row r="23" spans="1:5" x14ac:dyDescent="0.25">
      <c r="A23" s="32" t="s">
        <v>117</v>
      </c>
      <c r="B23" s="12"/>
      <c r="C23" s="18"/>
      <c r="D23" s="12">
        <v>40</v>
      </c>
      <c r="E23" t="s">
        <v>420</v>
      </c>
    </row>
    <row r="24" spans="1:5" x14ac:dyDescent="0.25">
      <c r="A24" s="32" t="s">
        <v>118</v>
      </c>
      <c r="B24" s="12"/>
      <c r="C24" s="18"/>
      <c r="D24" s="12">
        <f>80*(D14/2)</f>
        <v>307.08</v>
      </c>
      <c r="E24" t="s">
        <v>324</v>
      </c>
    </row>
    <row r="25" spans="1:5" x14ac:dyDescent="0.25">
      <c r="A25" s="32" t="s">
        <v>119</v>
      </c>
      <c r="B25" s="12"/>
      <c r="C25" s="11"/>
      <c r="D25" s="19">
        <f>ROUND(D24/D15,3)</f>
        <v>165.989</v>
      </c>
      <c r="E25" t="s">
        <v>227</v>
      </c>
    </row>
    <row r="27" spans="1:5" x14ac:dyDescent="0.25">
      <c r="A27" s="21" t="s">
        <v>187</v>
      </c>
      <c r="B27" s="10"/>
      <c r="C27" s="10"/>
      <c r="D27" s="10"/>
    </row>
    <row r="28" spans="1:5" x14ac:dyDescent="0.25">
      <c r="A28" s="33" t="s">
        <v>122</v>
      </c>
      <c r="B28" s="10"/>
      <c r="C28" s="10"/>
      <c r="D28" s="10">
        <v>10</v>
      </c>
    </row>
    <row r="29" spans="1:5" x14ac:dyDescent="0.25">
      <c r="A29" s="33" t="s">
        <v>123</v>
      </c>
      <c r="B29" s="10"/>
      <c r="C29" s="10"/>
      <c r="D29" s="21">
        <f>D28*D14</f>
        <v>76.77</v>
      </c>
      <c r="E29" t="s">
        <v>325</v>
      </c>
    </row>
    <row r="31" spans="1:5" x14ac:dyDescent="0.25">
      <c r="A31" s="21" t="s">
        <v>188</v>
      </c>
      <c r="B31" s="10"/>
      <c r="C31" s="10"/>
      <c r="D31" s="10"/>
    </row>
    <row r="32" spans="1:5" x14ac:dyDescent="0.25">
      <c r="A32" s="33" t="s">
        <v>125</v>
      </c>
      <c r="B32" s="10"/>
      <c r="C32" s="10"/>
      <c r="D32" s="10">
        <v>10</v>
      </c>
    </row>
    <row r="33" spans="1:6" x14ac:dyDescent="0.25">
      <c r="A33" s="33" t="s">
        <v>126</v>
      </c>
      <c r="B33" s="10"/>
      <c r="C33" s="10"/>
      <c r="D33" s="21">
        <f>D32*D14</f>
        <v>76.77</v>
      </c>
      <c r="E33" t="s">
        <v>325</v>
      </c>
    </row>
    <row r="35" spans="1:6" x14ac:dyDescent="0.25">
      <c r="A35" s="21" t="s">
        <v>189</v>
      </c>
      <c r="B35" s="10"/>
      <c r="C35" s="10"/>
      <c r="D35" s="10"/>
    </row>
    <row r="36" spans="1:6" x14ac:dyDescent="0.25">
      <c r="A36" s="33" t="s">
        <v>125</v>
      </c>
      <c r="B36" s="10"/>
      <c r="C36" s="10"/>
      <c r="D36" s="10">
        <v>10</v>
      </c>
    </row>
    <row r="37" spans="1:6" x14ac:dyDescent="0.25">
      <c r="A37" s="33" t="s">
        <v>126</v>
      </c>
      <c r="B37" s="10"/>
      <c r="C37" s="10"/>
      <c r="D37" s="21">
        <f>D36*D14</f>
        <v>76.77</v>
      </c>
      <c r="E37" t="s">
        <v>325</v>
      </c>
    </row>
    <row r="38" spans="1:6" ht="15.75" x14ac:dyDescent="0.25">
      <c r="F38" s="22"/>
    </row>
    <row r="39" spans="1:6" x14ac:dyDescent="0.25">
      <c r="A39" s="21" t="s">
        <v>180</v>
      </c>
      <c r="B39" s="10"/>
      <c r="C39" s="10"/>
      <c r="D39" s="10"/>
      <c r="E39" t="s">
        <v>417</v>
      </c>
    </row>
    <row r="40" spans="1:6" x14ac:dyDescent="0.25">
      <c r="A40" s="33" t="s">
        <v>181</v>
      </c>
      <c r="B40" s="10"/>
      <c r="C40" s="10"/>
      <c r="D40" s="10">
        <v>2</v>
      </c>
    </row>
    <row r="41" spans="1:6" x14ac:dyDescent="0.25">
      <c r="A41" s="33" t="s">
        <v>182</v>
      </c>
      <c r="B41" s="10"/>
      <c r="C41" s="10"/>
      <c r="D41" s="21">
        <f>D40*D14*2</f>
        <v>30.707999999999998</v>
      </c>
      <c r="E41" t="s">
        <v>326</v>
      </c>
    </row>
    <row r="48" spans="1:6" ht="15.75" x14ac:dyDescent="0.25">
      <c r="A48" s="4" t="s">
        <v>66</v>
      </c>
      <c r="B48" s="1"/>
      <c r="C48" s="3">
        <f>ROUND(((D20+D25+D29+D33+D37+D41)/(72*10.885)),3)</f>
        <v>0.86299999999999999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8D9C3-52FA-4CA4-A8F3-8760E01B2E45}">
  <sheetPr>
    <tabColor theme="9" tint="0.39997558519241921"/>
  </sheetPr>
  <dimension ref="A16:F53"/>
  <sheetViews>
    <sheetView showRuler="0" topLeftCell="A10" zoomScaleNormal="100" workbookViewId="0">
      <selection activeCell="D42" activeCellId="2" sqref="D34 D38 D42"/>
    </sheetView>
  </sheetViews>
  <sheetFormatPr defaultRowHeight="15" x14ac:dyDescent="0.25"/>
  <cols>
    <col min="3" max="3" width="9.7109375" customWidth="1"/>
    <col min="4" max="4" width="9.140625" customWidth="1"/>
    <col min="5" max="5" width="9.28515625" customWidth="1"/>
  </cols>
  <sheetData>
    <row r="16" spans="1:5" x14ac:dyDescent="0.25">
      <c r="A16" t="s">
        <v>113</v>
      </c>
      <c r="D16">
        <v>5.1449999999999996</v>
      </c>
      <c r="E16" s="25" t="s">
        <v>458</v>
      </c>
    </row>
    <row r="17" spans="1:5" x14ac:dyDescent="0.25">
      <c r="A17" s="26" t="s">
        <v>156</v>
      </c>
      <c r="B17" s="1"/>
      <c r="D17" s="1">
        <v>1.67</v>
      </c>
    </row>
    <row r="18" spans="1:5" x14ac:dyDescent="0.25">
      <c r="A18" s="26" t="s">
        <v>135</v>
      </c>
      <c r="B18" s="1"/>
      <c r="D18" s="1">
        <v>1.3</v>
      </c>
    </row>
    <row r="20" spans="1:5" x14ac:dyDescent="0.25">
      <c r="A20" s="11" t="s">
        <v>190</v>
      </c>
      <c r="B20" s="12"/>
      <c r="C20" s="12"/>
      <c r="D20" s="18"/>
    </row>
    <row r="21" spans="1:5" x14ac:dyDescent="0.25">
      <c r="A21" s="32" t="s">
        <v>117</v>
      </c>
      <c r="B21" s="12"/>
      <c r="C21" s="18"/>
      <c r="D21" s="12">
        <v>582</v>
      </c>
    </row>
    <row r="22" spans="1:5" x14ac:dyDescent="0.25">
      <c r="A22" s="32" t="s">
        <v>119</v>
      </c>
      <c r="B22" s="12"/>
      <c r="C22" s="11"/>
      <c r="D22" s="19">
        <f>ROUND(D21/D17,3)</f>
        <v>348.50299999999999</v>
      </c>
      <c r="E22" t="s">
        <v>208</v>
      </c>
    </row>
    <row r="24" spans="1:5" x14ac:dyDescent="0.25">
      <c r="A24" s="23" t="s">
        <v>192</v>
      </c>
      <c r="B24" s="14"/>
      <c r="C24" s="14"/>
      <c r="D24" s="15"/>
      <c r="E24" t="s">
        <v>421</v>
      </c>
    </row>
    <row r="25" spans="1:5" x14ac:dyDescent="0.25">
      <c r="A25" s="34" t="s">
        <v>117</v>
      </c>
      <c r="B25" s="14"/>
      <c r="C25" s="15"/>
      <c r="D25" s="14">
        <v>27</v>
      </c>
    </row>
    <row r="26" spans="1:5" x14ac:dyDescent="0.25">
      <c r="A26" s="34" t="s">
        <v>119</v>
      </c>
      <c r="B26" s="14"/>
      <c r="C26" s="23"/>
      <c r="D26" s="24">
        <f>ROUND(D25/D18,3)</f>
        <v>20.768999999999998</v>
      </c>
      <c r="E26" t="s">
        <v>209</v>
      </c>
    </row>
    <row r="28" spans="1:5" x14ac:dyDescent="0.25">
      <c r="A28" s="23" t="s">
        <v>194</v>
      </c>
      <c r="B28" s="14"/>
      <c r="C28" s="14"/>
      <c r="D28" s="15"/>
      <c r="E28" t="s">
        <v>422</v>
      </c>
    </row>
    <row r="29" spans="1:5" x14ac:dyDescent="0.25">
      <c r="A29" s="34" t="s">
        <v>117</v>
      </c>
      <c r="B29" s="14"/>
      <c r="C29" s="15"/>
      <c r="D29" s="14">
        <v>96</v>
      </c>
    </row>
    <row r="30" spans="1:5" x14ac:dyDescent="0.25">
      <c r="A30" s="34" t="s">
        <v>119</v>
      </c>
      <c r="B30" s="14"/>
      <c r="C30" s="23"/>
      <c r="D30" s="24">
        <f>ROUND(D29/D18,3)</f>
        <v>73.846000000000004</v>
      </c>
      <c r="E30" t="s">
        <v>210</v>
      </c>
    </row>
    <row r="32" spans="1:5" x14ac:dyDescent="0.25">
      <c r="A32" s="21" t="s">
        <v>202</v>
      </c>
      <c r="B32" s="10"/>
      <c r="C32" s="10"/>
      <c r="D32" s="10"/>
      <c r="E32" t="s">
        <v>426</v>
      </c>
    </row>
    <row r="33" spans="1:6" x14ac:dyDescent="0.25">
      <c r="A33" s="33" t="s">
        <v>203</v>
      </c>
      <c r="B33" s="10"/>
      <c r="C33" s="10"/>
      <c r="D33" s="10">
        <v>10</v>
      </c>
    </row>
    <row r="34" spans="1:6" ht="15.75" x14ac:dyDescent="0.25">
      <c r="A34" s="33" t="s">
        <v>204</v>
      </c>
      <c r="B34" s="10"/>
      <c r="C34" s="10"/>
      <c r="D34" s="21">
        <f>D33*D16</f>
        <v>51.449999999999996</v>
      </c>
      <c r="E34" t="s">
        <v>327</v>
      </c>
      <c r="F34" s="22"/>
    </row>
    <row r="36" spans="1:6" x14ac:dyDescent="0.25">
      <c r="A36" s="21" t="s">
        <v>205</v>
      </c>
      <c r="B36" s="10"/>
      <c r="C36" s="10"/>
      <c r="D36" s="10"/>
      <c r="E36" t="s">
        <v>427</v>
      </c>
    </row>
    <row r="37" spans="1:6" x14ac:dyDescent="0.25">
      <c r="A37" s="33" t="s">
        <v>206</v>
      </c>
      <c r="B37" s="10"/>
      <c r="C37" s="10"/>
      <c r="D37" s="10">
        <v>40</v>
      </c>
    </row>
    <row r="38" spans="1:6" x14ac:dyDescent="0.25">
      <c r="A38" s="33" t="s">
        <v>207</v>
      </c>
      <c r="B38" s="10"/>
      <c r="C38" s="10"/>
      <c r="D38" s="21">
        <f>D37*D16</f>
        <v>205.79999999999998</v>
      </c>
      <c r="E38" t="s">
        <v>328</v>
      </c>
    </row>
    <row r="40" spans="1:6" x14ac:dyDescent="0.25">
      <c r="A40" s="21" t="s">
        <v>180</v>
      </c>
      <c r="B40" s="10"/>
      <c r="C40" s="10"/>
      <c r="D40" s="10"/>
      <c r="E40" t="s">
        <v>417</v>
      </c>
    </row>
    <row r="41" spans="1:6" x14ac:dyDescent="0.25">
      <c r="A41" s="33" t="s">
        <v>181</v>
      </c>
      <c r="B41" s="10"/>
      <c r="C41" s="10"/>
      <c r="D41" s="10">
        <v>2</v>
      </c>
    </row>
    <row r="42" spans="1:6" x14ac:dyDescent="0.25">
      <c r="A42" s="33" t="s">
        <v>182</v>
      </c>
      <c r="B42" s="10"/>
      <c r="C42" s="10"/>
      <c r="D42" s="21">
        <f>D41*D16*2</f>
        <v>20.58</v>
      </c>
      <c r="E42" t="s">
        <v>329</v>
      </c>
    </row>
    <row r="53" spans="1:3" ht="15.75" x14ac:dyDescent="0.25">
      <c r="A53" s="4" t="s">
        <v>66</v>
      </c>
      <c r="B53" s="1"/>
      <c r="C53" s="3">
        <f>ROUND(((D22+D26+D30+D38+D42+D34)/(72*12)),3)</f>
        <v>0.83399999999999996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E9FE-FB2D-44E6-AEBC-692DE0C5E588}">
  <sheetPr codeName="List8">
    <tabColor theme="0"/>
  </sheetPr>
  <dimension ref="A1:BT35"/>
  <sheetViews>
    <sheetView workbookViewId="0">
      <pane xSplit="3" ySplit="2" topLeftCell="D3" activePane="bottomRight" state="frozen"/>
      <selection pane="topRight" activeCell="K33" sqref="K33"/>
      <selection pane="bottomLeft" activeCell="K33" sqref="K33"/>
      <selection pane="bottomRight" activeCell="O19" sqref="O19"/>
    </sheetView>
  </sheetViews>
  <sheetFormatPr defaultColWidth="9.140625" defaultRowHeight="15" x14ac:dyDescent="0.25"/>
  <cols>
    <col min="1" max="1" width="17.28515625" style="1" bestFit="1" customWidth="1"/>
    <col min="2" max="4" width="9.140625" style="1"/>
    <col min="5" max="5" width="14.42578125" style="1" customWidth="1"/>
    <col min="6" max="8" width="9.140625" style="1"/>
    <col min="9" max="9" width="14.28515625" style="1" customWidth="1"/>
    <col min="10" max="12" width="9.140625" style="1"/>
    <col min="13" max="13" width="15.5703125" style="1" customWidth="1"/>
    <col min="14" max="14" width="9.140625" style="1"/>
    <col min="15" max="15" width="9" style="1" customWidth="1"/>
    <col min="16" max="16" width="9.140625" style="1"/>
    <col min="17" max="17" width="15.5703125" style="1" customWidth="1"/>
    <col min="18" max="20" width="9.140625" style="1"/>
    <col min="21" max="21" width="15.42578125" style="1" customWidth="1"/>
    <col min="22" max="24" width="9.140625" style="1"/>
    <col min="25" max="25" width="12.5703125" style="1" customWidth="1"/>
    <col min="26" max="28" width="9.140625" style="1"/>
    <col min="29" max="29" width="13.140625" style="1" customWidth="1"/>
    <col min="30" max="32" width="9.140625" style="1"/>
    <col min="33" max="33" width="14.28515625" style="1" customWidth="1"/>
    <col min="34" max="34" width="9.42578125" style="1" customWidth="1"/>
    <col min="35" max="36" width="9.140625" style="1"/>
    <col min="37" max="37" width="14.85546875" style="1" customWidth="1"/>
    <col min="38" max="48" width="9.140625" style="1"/>
    <col min="49" max="49" width="12.85546875" style="1" customWidth="1"/>
    <col min="50" max="58" width="9.140625" style="1"/>
    <col min="59" max="59" width="16.5703125" style="1" bestFit="1" customWidth="1"/>
    <col min="60" max="16384" width="9.140625" style="1"/>
  </cols>
  <sheetData>
    <row r="1" spans="1:72" ht="15" customHeight="1" x14ac:dyDescent="0.2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</row>
    <row r="2" spans="1:72" ht="15" customHeight="1" x14ac:dyDescent="0.2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</row>
    <row r="3" spans="1:72" x14ac:dyDescent="0.25">
      <c r="F3" s="35"/>
      <c r="J3" s="35"/>
      <c r="N3" s="35"/>
      <c r="R3" s="35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</row>
    <row r="4" spans="1:72" ht="15" customHeight="1" x14ac:dyDescent="0.25">
      <c r="A4" s="1" t="s">
        <v>2</v>
      </c>
      <c r="C4" s="1">
        <v>79200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</row>
    <row r="5" spans="1:72" ht="15" customHeight="1" x14ac:dyDescent="0.25">
      <c r="A5" s="1" t="s">
        <v>3</v>
      </c>
      <c r="C5" s="1">
        <v>72</v>
      </c>
      <c r="E5" s="47" t="s">
        <v>4</v>
      </c>
      <c r="F5" s="47"/>
      <c r="G5" s="47"/>
      <c r="I5" s="47" t="s">
        <v>5</v>
      </c>
      <c r="J5" s="47"/>
      <c r="K5" s="47"/>
      <c r="M5" s="47" t="s">
        <v>6</v>
      </c>
      <c r="N5" s="47"/>
      <c r="O5" s="47"/>
      <c r="Q5" s="47" t="s">
        <v>7</v>
      </c>
      <c r="R5" s="47"/>
      <c r="S5" s="47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72" ht="15" customHeight="1" x14ac:dyDescent="0.25">
      <c r="A6" s="1" t="s">
        <v>17</v>
      </c>
      <c r="C6" s="1">
        <v>96</v>
      </c>
      <c r="E6" s="3" t="s">
        <v>18</v>
      </c>
      <c r="I6" s="3" t="s">
        <v>18</v>
      </c>
      <c r="M6" s="3" t="s">
        <v>19</v>
      </c>
      <c r="Q6" s="3" t="s">
        <v>18</v>
      </c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</row>
    <row r="7" spans="1:72" ht="15" customHeight="1" x14ac:dyDescent="0.25">
      <c r="A7" s="1" t="s">
        <v>20</v>
      </c>
      <c r="C7" s="1">
        <v>1045</v>
      </c>
      <c r="E7" s="1" t="s">
        <v>21</v>
      </c>
      <c r="G7" s="1">
        <v>70</v>
      </c>
      <c r="I7" s="1" t="s">
        <v>21</v>
      </c>
      <c r="K7" s="1">
        <v>60</v>
      </c>
      <c r="M7" s="1" t="s">
        <v>22</v>
      </c>
      <c r="O7" s="1">
        <v>40</v>
      </c>
      <c r="Q7" s="1" t="s">
        <v>21</v>
      </c>
      <c r="S7" s="1">
        <v>700</v>
      </c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</row>
    <row r="8" spans="1:72" ht="15" customHeight="1" x14ac:dyDescent="0.25">
      <c r="A8" s="1" t="s">
        <v>24</v>
      </c>
      <c r="C8" s="1">
        <f>ROUND(C7/C6,3)</f>
        <v>10.885</v>
      </c>
      <c r="E8" s="1" t="s">
        <v>25</v>
      </c>
      <c r="G8" s="1">
        <f>ROUND(G7*C21,3)</f>
        <v>1746.22</v>
      </c>
      <c r="I8" s="1" t="s">
        <v>25</v>
      </c>
      <c r="K8" s="1">
        <f>ROUND(K7*C21,3)</f>
        <v>1496.76</v>
      </c>
      <c r="M8" s="1" t="s">
        <v>26</v>
      </c>
      <c r="O8" s="3">
        <f>ROUND(O7/C16,3)</f>
        <v>30.768999999999998</v>
      </c>
      <c r="Q8" s="1" t="s">
        <v>27</v>
      </c>
      <c r="S8" s="3">
        <f>ROUND(S7/C15,3)</f>
        <v>419.16199999999998</v>
      </c>
      <c r="W8" s="3"/>
      <c r="AA8" s="3"/>
      <c r="AE8" s="3"/>
      <c r="AI8" s="3"/>
      <c r="AY8" s="3"/>
      <c r="BC8" s="3"/>
      <c r="BG8" s="3"/>
    </row>
    <row r="9" spans="1:72" x14ac:dyDescent="0.25">
      <c r="A9" s="1" t="s">
        <v>29</v>
      </c>
      <c r="C9" s="1">
        <f>ROUND(C7/48,3)</f>
        <v>21.771000000000001</v>
      </c>
      <c r="E9" s="1" t="s">
        <v>27</v>
      </c>
      <c r="G9" s="3">
        <f>ROUND(G8/C14,3)</f>
        <v>943.90300000000002</v>
      </c>
      <c r="I9" s="1" t="s">
        <v>27</v>
      </c>
      <c r="K9" s="3">
        <f>ROUND(K8/C14,3)</f>
        <v>809.05899999999997</v>
      </c>
      <c r="M9" s="1" t="s">
        <v>30</v>
      </c>
      <c r="O9" s="1">
        <v>16</v>
      </c>
      <c r="W9" s="3"/>
      <c r="AA9" s="3"/>
      <c r="AE9" s="3"/>
      <c r="AI9" s="3"/>
      <c r="AM9" s="3"/>
    </row>
    <row r="10" spans="1:72" x14ac:dyDescent="0.25">
      <c r="A10" s="1" t="s">
        <v>32</v>
      </c>
      <c r="C10" s="1">
        <f>ROUND(C7/24,3)</f>
        <v>43.542000000000002</v>
      </c>
      <c r="M10" s="1" t="s">
        <v>33</v>
      </c>
      <c r="O10" s="1">
        <f>ROUND(O9/C16,3)</f>
        <v>12.308</v>
      </c>
      <c r="Q10" s="3" t="s">
        <v>34</v>
      </c>
      <c r="U10" s="3"/>
      <c r="Y10" s="3"/>
      <c r="AC10" s="3"/>
      <c r="AG10" s="3"/>
      <c r="AW10" s="3"/>
      <c r="BA10" s="3"/>
      <c r="BE10" s="3"/>
    </row>
    <row r="11" spans="1:72" x14ac:dyDescent="0.25">
      <c r="A11" s="1" t="s">
        <v>36</v>
      </c>
      <c r="C11" s="1">
        <f>ROUND(C7/18,3)</f>
        <v>58.055999999999997</v>
      </c>
      <c r="E11" s="3" t="s">
        <v>34</v>
      </c>
      <c r="I11" s="3" t="s">
        <v>34</v>
      </c>
      <c r="M11" s="1" t="s">
        <v>37</v>
      </c>
      <c r="O11" s="1">
        <f>ROUND(O10*O19,3)</f>
        <v>41.354999999999997</v>
      </c>
      <c r="Q11" s="1" t="s">
        <v>38</v>
      </c>
      <c r="S11" s="1">
        <v>3226</v>
      </c>
      <c r="AK11" s="3"/>
      <c r="AQ11" s="3"/>
      <c r="AU11" s="3"/>
    </row>
    <row r="12" spans="1:72" x14ac:dyDescent="0.25">
      <c r="A12" s="1" t="s">
        <v>40</v>
      </c>
      <c r="C12" s="1">
        <f>ROUND(C7/12,3)</f>
        <v>87.082999999999998</v>
      </c>
      <c r="E12" s="1" t="s">
        <v>41</v>
      </c>
      <c r="G12" s="1">
        <v>12</v>
      </c>
      <c r="I12" t="s">
        <v>42</v>
      </c>
      <c r="J12"/>
      <c r="K12" s="1">
        <v>7</v>
      </c>
      <c r="M12" s="1" t="s">
        <v>43</v>
      </c>
      <c r="O12" s="3">
        <f>ROUND(O11*O15,3)</f>
        <v>265.29199999999997</v>
      </c>
      <c r="Q12" s="1" t="s">
        <v>44</v>
      </c>
      <c r="S12" s="1">
        <f>ROUND(S11/48,3)</f>
        <v>67.207999999999998</v>
      </c>
      <c r="AK12"/>
      <c r="AL12"/>
      <c r="AM12"/>
      <c r="AN12"/>
      <c r="AY12" s="3"/>
      <c r="BC12" s="3"/>
      <c r="BG12" s="3"/>
    </row>
    <row r="13" spans="1:72" x14ac:dyDescent="0.25">
      <c r="E13" s="1" t="s">
        <v>47</v>
      </c>
      <c r="G13" s="3">
        <f>ROUND(G12*C21,3)</f>
        <v>299.35199999999998</v>
      </c>
      <c r="I13" s="45" t="s">
        <v>47</v>
      </c>
      <c r="J13" s="45"/>
      <c r="K13" s="3">
        <f>ROUND(K12*C21,3)</f>
        <v>174.62200000000001</v>
      </c>
      <c r="Q13" s="1" t="s">
        <v>48</v>
      </c>
      <c r="R13"/>
      <c r="S13" s="2">
        <v>9</v>
      </c>
      <c r="V13"/>
      <c r="W13" s="3"/>
      <c r="Z13"/>
      <c r="AA13" s="3"/>
      <c r="AD13"/>
      <c r="AE13" s="3"/>
      <c r="AH13"/>
      <c r="AI13" s="3"/>
      <c r="AK13" s="5"/>
      <c r="AL13" s="5"/>
      <c r="AM13" s="13"/>
      <c r="AN13"/>
      <c r="AO13" s="3"/>
      <c r="AS13" s="3"/>
    </row>
    <row r="14" spans="1:72" x14ac:dyDescent="0.25">
      <c r="A14" s="1" t="s">
        <v>50</v>
      </c>
      <c r="C14" s="1">
        <v>1.85</v>
      </c>
      <c r="E14" s="1" t="s">
        <v>51</v>
      </c>
      <c r="G14" s="1">
        <v>20</v>
      </c>
      <c r="I14" t="s">
        <v>52</v>
      </c>
      <c r="J14"/>
      <c r="K14" s="1">
        <v>12</v>
      </c>
      <c r="M14" s="3" t="s">
        <v>34</v>
      </c>
      <c r="Q14" s="5" t="s">
        <v>53</v>
      </c>
      <c r="R14" s="5"/>
      <c r="S14" s="3">
        <f>ROUND(S13*S12,3)</f>
        <v>604.87199999999996</v>
      </c>
      <c r="U14" s="5"/>
      <c r="V14" s="5"/>
      <c r="W14" s="3"/>
      <c r="Y14" s="5"/>
      <c r="Z14" s="5"/>
      <c r="AA14" s="3"/>
      <c r="AC14" s="5"/>
      <c r="AD14" s="5"/>
      <c r="AE14" s="3"/>
      <c r="AG14" s="5"/>
      <c r="AH14" s="5"/>
      <c r="AI14" s="3"/>
      <c r="AK14"/>
      <c r="AL14"/>
      <c r="AM14"/>
      <c r="AN14"/>
      <c r="AO14"/>
      <c r="AP14"/>
      <c r="AQ14"/>
      <c r="AS14"/>
      <c r="AT14"/>
      <c r="AU14"/>
      <c r="AY14" s="3"/>
      <c r="BC14" s="3"/>
      <c r="BG14" s="3"/>
    </row>
    <row r="15" spans="1:72" x14ac:dyDescent="0.25">
      <c r="A15" s="1" t="s">
        <v>56</v>
      </c>
      <c r="C15" s="1">
        <v>1.67</v>
      </c>
      <c r="E15" s="1" t="s">
        <v>57</v>
      </c>
      <c r="G15" s="3">
        <f>ROUND(G14*C19,3)</f>
        <v>898.04</v>
      </c>
      <c r="I15" t="s">
        <v>57</v>
      </c>
      <c r="J15"/>
      <c r="K15" s="3">
        <f>ROUND(K14*C19,3)</f>
        <v>538.82399999999996</v>
      </c>
      <c r="M15" s="1" t="s">
        <v>59</v>
      </c>
      <c r="O15" s="1">
        <f>ROUND(C19/7,3)</f>
        <v>6.415</v>
      </c>
      <c r="Q15" s="1" t="s">
        <v>60</v>
      </c>
      <c r="R15"/>
      <c r="S15" s="1">
        <v>6</v>
      </c>
      <c r="AK15"/>
      <c r="AL15"/>
      <c r="AM15" s="13"/>
      <c r="AN15"/>
      <c r="AP15" s="5"/>
      <c r="AQ15"/>
      <c r="AT15" s="5"/>
      <c r="AU15"/>
    </row>
    <row r="16" spans="1:72" x14ac:dyDescent="0.25">
      <c r="A16" s="1" t="s">
        <v>62</v>
      </c>
      <c r="C16" s="1">
        <v>1.3</v>
      </c>
      <c r="M16" t="s">
        <v>63</v>
      </c>
      <c r="O16" s="1">
        <v>55</v>
      </c>
      <c r="Q16" s="1" t="s">
        <v>64</v>
      </c>
      <c r="R16"/>
      <c r="S16" s="27">
        <f>ROUND(S15*S19,3)</f>
        <v>27.498000000000001</v>
      </c>
      <c r="V16"/>
      <c r="Z16"/>
      <c r="AD16"/>
      <c r="AH16"/>
      <c r="AK16"/>
      <c r="AL16"/>
      <c r="AM16"/>
      <c r="AN16"/>
      <c r="AO16" s="5"/>
      <c r="AP16"/>
      <c r="AQ16" s="13"/>
      <c r="AS16" s="5"/>
      <c r="AT16"/>
      <c r="AU16" s="13"/>
      <c r="AW16" s="3"/>
      <c r="AY16" s="3"/>
      <c r="BA16" s="3"/>
      <c r="BC16" s="3"/>
      <c r="BE16" s="3"/>
      <c r="BG16" s="3"/>
    </row>
    <row r="17" spans="1:59" ht="15.75" x14ac:dyDescent="0.25">
      <c r="E17" s="4" t="s">
        <v>66</v>
      </c>
      <c r="G17" s="3">
        <f>ROUND(((G9+G13+G15)/(C5*C8))/3,3)</f>
        <v>0.91100000000000003</v>
      </c>
      <c r="I17" s="4" t="s">
        <v>66</v>
      </c>
      <c r="K17" s="3">
        <f>ROUND(((K9+K13+K15)/(C5*C8))/2,3)</f>
        <v>0.97099999999999997</v>
      </c>
      <c r="M17" s="1" t="s">
        <v>67</v>
      </c>
      <c r="N17"/>
      <c r="O17" s="3">
        <f>ROUND(O16*O15,3)</f>
        <v>352.82499999999999</v>
      </c>
      <c r="V17"/>
      <c r="W17" s="7"/>
      <c r="Z17"/>
      <c r="AA17" s="7"/>
      <c r="AD17"/>
      <c r="AE17" s="7"/>
      <c r="AH17"/>
      <c r="AI17" s="7"/>
      <c r="AM17" s="3"/>
      <c r="AO17"/>
      <c r="AP17"/>
      <c r="AQ17"/>
      <c r="AS17"/>
      <c r="AT17"/>
      <c r="AU17"/>
    </row>
    <row r="18" spans="1:59" x14ac:dyDescent="0.25">
      <c r="A18" s="11" t="s">
        <v>72</v>
      </c>
      <c r="B18" s="12"/>
      <c r="C18" s="12"/>
      <c r="M18" s="5" t="s">
        <v>73</v>
      </c>
      <c r="N18" s="5"/>
      <c r="O18" s="3">
        <v>90</v>
      </c>
      <c r="Q18" s="3" t="s">
        <v>19</v>
      </c>
      <c r="AO18"/>
      <c r="AP18"/>
      <c r="AQ18" s="13"/>
      <c r="AS18"/>
      <c r="AT18"/>
      <c r="AU18" s="13"/>
    </row>
    <row r="19" spans="1:59" ht="15.75" x14ac:dyDescent="0.25">
      <c r="A19" s="12" t="s">
        <v>77</v>
      </c>
      <c r="B19" s="12"/>
      <c r="C19" s="16">
        <v>44.902000000000001</v>
      </c>
      <c r="M19" s="1" t="s">
        <v>78</v>
      </c>
      <c r="O19" s="1">
        <v>3.36</v>
      </c>
      <c r="Q19" s="26" t="s">
        <v>79</v>
      </c>
      <c r="S19" s="16">
        <v>4.5830000000000002</v>
      </c>
      <c r="U19" s="3"/>
      <c r="Y19" s="3"/>
      <c r="AC19" s="3"/>
      <c r="AG19" s="3"/>
      <c r="AK19" s="4"/>
      <c r="AM19" s="3"/>
      <c r="AO19"/>
      <c r="AP19"/>
      <c r="AQ19"/>
      <c r="AS19"/>
      <c r="AT19"/>
      <c r="AU19"/>
      <c r="AY19" s="3"/>
      <c r="BC19" s="3"/>
    </row>
    <row r="20" spans="1:59" ht="15" customHeight="1" x14ac:dyDescent="0.25">
      <c r="A20" s="12" t="s">
        <v>83</v>
      </c>
      <c r="B20" s="12"/>
      <c r="C20" s="12">
        <v>1.8</v>
      </c>
      <c r="D20"/>
      <c r="E20"/>
      <c r="F20"/>
      <c r="G20"/>
      <c r="M20" t="s">
        <v>84</v>
      </c>
      <c r="N20"/>
      <c r="O20">
        <v>4</v>
      </c>
      <c r="Q20" s="26" t="s">
        <v>85</v>
      </c>
      <c r="S20" s="3">
        <v>2.5</v>
      </c>
      <c r="AO20"/>
      <c r="AP20"/>
      <c r="AQ20" s="13"/>
      <c r="AS20"/>
      <c r="AT20"/>
      <c r="AU20" s="13"/>
      <c r="BG20" s="3"/>
    </row>
    <row r="21" spans="1:59" ht="15" customHeight="1" x14ac:dyDescent="0.25">
      <c r="A21" s="12" t="s">
        <v>88</v>
      </c>
      <c r="B21" s="12"/>
      <c r="C21" s="12">
        <f>ROUND(C19/C20,3)</f>
        <v>24.946000000000002</v>
      </c>
      <c r="D21"/>
      <c r="E21"/>
      <c r="F21"/>
      <c r="G21"/>
      <c r="M21" t="s">
        <v>89</v>
      </c>
      <c r="N21"/>
      <c r="O21" s="6">
        <f>O20*O19</f>
        <v>13.44</v>
      </c>
      <c r="Q21" s="26" t="s">
        <v>90</v>
      </c>
      <c r="S21" s="1">
        <v>4</v>
      </c>
      <c r="AO21"/>
      <c r="AQ21" s="2"/>
      <c r="AS21"/>
      <c r="AU21" s="2"/>
    </row>
    <row r="22" spans="1:59" x14ac:dyDescent="0.25">
      <c r="D22"/>
      <c r="E22"/>
      <c r="F22"/>
      <c r="G22"/>
      <c r="M22" t="s">
        <v>92</v>
      </c>
      <c r="N22"/>
      <c r="O22" s="7">
        <f>O21*O15</f>
        <v>86.21759999999999</v>
      </c>
      <c r="Q22" s="26" t="s">
        <v>93</v>
      </c>
      <c r="S22" s="1">
        <f>S20*S21</f>
        <v>10</v>
      </c>
      <c r="AQ22" s="3"/>
      <c r="AU22" s="3"/>
      <c r="BG22" s="3"/>
    </row>
    <row r="23" spans="1:59" x14ac:dyDescent="0.25">
      <c r="A23" s="8" t="s">
        <v>95</v>
      </c>
      <c r="B23" s="9"/>
      <c r="C23" s="9"/>
      <c r="D23"/>
      <c r="E23"/>
      <c r="F23"/>
      <c r="G23"/>
      <c r="M23" t="s">
        <v>96</v>
      </c>
      <c r="O23" s="1">
        <v>17</v>
      </c>
      <c r="Q23" s="26" t="s">
        <v>97</v>
      </c>
      <c r="S23" s="1">
        <f>ROUND(S20*2.2*S22,3)</f>
        <v>55</v>
      </c>
      <c r="AY23" s="3"/>
      <c r="BC23" s="3"/>
      <c r="BE23"/>
      <c r="BG23" s="2"/>
    </row>
    <row r="24" spans="1:59" ht="15.75" x14ac:dyDescent="0.25">
      <c r="A24" s="9" t="s">
        <v>77</v>
      </c>
      <c r="B24" s="9"/>
      <c r="C24" s="9">
        <v>11</v>
      </c>
      <c r="D24"/>
      <c r="E24"/>
      <c r="F24"/>
      <c r="G24"/>
      <c r="M24" t="s">
        <v>98</v>
      </c>
      <c r="O24" s="1">
        <f>ROUND(O23*O19,3)</f>
        <v>57.12</v>
      </c>
      <c r="Q24" s="26" t="s">
        <v>99</v>
      </c>
      <c r="S24" s="3">
        <f>ROUND(S23/1.3,3)</f>
        <v>42.308</v>
      </c>
      <c r="AO24" s="4"/>
      <c r="AQ24" s="3"/>
      <c r="AS24" s="4"/>
      <c r="AU24" s="3"/>
      <c r="BG24" s="3"/>
    </row>
    <row r="25" spans="1:59" x14ac:dyDescent="0.25">
      <c r="A25" s="9" t="s">
        <v>100</v>
      </c>
      <c r="B25" s="9"/>
      <c r="C25" s="9">
        <v>1.5</v>
      </c>
      <c r="D25"/>
      <c r="E25"/>
      <c r="F25"/>
      <c r="G25"/>
      <c r="M25" t="s">
        <v>101</v>
      </c>
      <c r="O25" s="3">
        <f>ROUND(O24*O15,3)</f>
        <v>366.42500000000001</v>
      </c>
      <c r="Q25" s="26" t="s">
        <v>102</v>
      </c>
      <c r="S25" s="1">
        <v>1.3</v>
      </c>
      <c r="AY25" s="3"/>
      <c r="BC25" s="3"/>
    </row>
    <row r="26" spans="1:59" ht="15.75" x14ac:dyDescent="0.25">
      <c r="A26" s="9" t="s">
        <v>88</v>
      </c>
      <c r="B26" s="10"/>
      <c r="C26" s="10">
        <f>ROUND(C24/C25,3)</f>
        <v>7.3330000000000002</v>
      </c>
      <c r="D26"/>
      <c r="E26"/>
      <c r="F26"/>
      <c r="G26"/>
      <c r="Q26" s="26" t="s">
        <v>103</v>
      </c>
      <c r="S26" s="1">
        <f>ROUND(S25*S19,3)</f>
        <v>5.9580000000000002</v>
      </c>
      <c r="AY26" s="3"/>
      <c r="BC26" s="3"/>
      <c r="BE26" s="4"/>
      <c r="BG26" s="3"/>
    </row>
    <row r="27" spans="1:59" ht="15.75" x14ac:dyDescent="0.25">
      <c r="A27"/>
      <c r="B27"/>
      <c r="C27"/>
      <c r="D27"/>
      <c r="E27"/>
      <c r="F27"/>
      <c r="G27"/>
      <c r="M27" s="4" t="s">
        <v>66</v>
      </c>
      <c r="O27" s="3">
        <f>ROUND(((O8+O12+O17+O18+O22+O25)/(C5*C8))/2,3)</f>
        <v>0.76</v>
      </c>
      <c r="Q27" s="26" t="s">
        <v>105</v>
      </c>
      <c r="S27" s="1">
        <f>ROUND(((S20*2.2*2)+(S19*1.8))*S26,3)</f>
        <v>114.688</v>
      </c>
      <c r="AW27"/>
      <c r="AY27" s="2"/>
      <c r="BA27"/>
      <c r="BC27" s="2"/>
    </row>
    <row r="28" spans="1:59" x14ac:dyDescent="0.25">
      <c r="A28"/>
      <c r="B28"/>
      <c r="C28"/>
      <c r="D28"/>
      <c r="E28"/>
      <c r="F28"/>
      <c r="G28"/>
      <c r="Q28" s="26" t="s">
        <v>106</v>
      </c>
      <c r="S28" s="3">
        <f>ROUND(S27/1.3,3)</f>
        <v>88.221999999999994</v>
      </c>
      <c r="AY28" s="3"/>
      <c r="BC28" s="3"/>
    </row>
    <row r="29" spans="1:59" x14ac:dyDescent="0.25">
      <c r="A29"/>
      <c r="B29"/>
      <c r="C29">
        <f>G17+K17+O27+S30</f>
        <v>3.3960000000000004</v>
      </c>
      <c r="D29"/>
      <c r="E29"/>
      <c r="F29"/>
      <c r="G29"/>
    </row>
    <row r="30" spans="1:59" ht="15.75" x14ac:dyDescent="0.25">
      <c r="A30"/>
      <c r="B30"/>
      <c r="C30"/>
      <c r="D30"/>
      <c r="E30"/>
      <c r="F30"/>
      <c r="G30"/>
      <c r="Q30" s="4" t="s">
        <v>66</v>
      </c>
      <c r="S30" s="3">
        <f>ROUND(((S8+S14+S16+S24+S28)/($C$5*$C$9)),3)</f>
        <v>0.754</v>
      </c>
      <c r="AW30" s="4"/>
      <c r="AY30" s="3"/>
      <c r="BA30" s="4"/>
      <c r="BC30" s="3"/>
    </row>
    <row r="31" spans="1:59" ht="15" customHeight="1" x14ac:dyDescent="0.25">
      <c r="A31"/>
      <c r="B31"/>
      <c r="C31"/>
      <c r="D31"/>
      <c r="E31"/>
      <c r="F31"/>
      <c r="G31"/>
      <c r="Q31" s="4"/>
      <c r="S31" s="3"/>
    </row>
    <row r="32" spans="1:59" ht="15" customHeight="1" x14ac:dyDescent="0.25">
      <c r="A32"/>
      <c r="B32"/>
      <c r="C32"/>
      <c r="D32"/>
      <c r="E32"/>
      <c r="F32"/>
      <c r="G32"/>
    </row>
    <row r="33" spans="1:10" x14ac:dyDescent="0.25">
      <c r="A33"/>
      <c r="B33"/>
      <c r="C33"/>
      <c r="D33"/>
      <c r="E33"/>
      <c r="F33"/>
      <c r="G33"/>
    </row>
    <row r="34" spans="1:10" x14ac:dyDescent="0.25">
      <c r="A34"/>
      <c r="B34"/>
      <c r="C34"/>
      <c r="D34"/>
      <c r="E34"/>
      <c r="F34"/>
      <c r="G34"/>
      <c r="J34" s="26"/>
    </row>
    <row r="35" spans="1:10" x14ac:dyDescent="0.25">
      <c r="A35"/>
      <c r="B35"/>
      <c r="C35" s="46"/>
      <c r="D35" s="46"/>
      <c r="E35" s="46"/>
      <c r="F35" s="46"/>
      <c r="G35" s="46"/>
    </row>
  </sheetData>
  <mergeCells count="7">
    <mergeCell ref="I13:J13"/>
    <mergeCell ref="C35:G35"/>
    <mergeCell ref="A1:S2"/>
    <mergeCell ref="E5:G5"/>
    <mergeCell ref="I5:K5"/>
    <mergeCell ref="M5:O5"/>
    <mergeCell ref="Q5:S5"/>
  </mergeCells>
  <pageMargins left="0.7" right="0.7" top="0.78740157499999996" bottom="0.78740157499999996" header="0.3" footer="0.3"/>
  <pageSetup paperSize="9" orientation="portrait" r:id="rId1"/>
  <headerFooter>
    <oddHeader>&amp;C&amp;"MS UI Gothic"&amp;10&amp;K000000•• PROTECTED 関係者外秘&amp;1#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5D4C-701A-4904-9422-FBFD81D86FDE}">
  <sheetPr codeName="List28">
    <tabColor theme="4" tint="0.59999389629810485"/>
  </sheetPr>
  <dimension ref="A14:F38"/>
  <sheetViews>
    <sheetView zoomScale="85" zoomScaleNormal="85" workbookViewId="0">
      <selection activeCell="D30" activeCellId="1" sqref="D26 D30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44.902000000000001</v>
      </c>
      <c r="E14" t="s">
        <v>459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24.946000000000002</v>
      </c>
      <c r="E16" t="s">
        <v>228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1746.22</v>
      </c>
      <c r="E21" t="s">
        <v>330</v>
      </c>
    </row>
    <row r="22" spans="1:5" x14ac:dyDescent="0.25">
      <c r="A22" s="32" t="s">
        <v>119</v>
      </c>
      <c r="B22" s="12"/>
      <c r="C22" s="11"/>
      <c r="D22" s="19">
        <f>ROUND(D21/D17,3)</f>
        <v>943.90300000000002</v>
      </c>
      <c r="E22" t="s">
        <v>229</v>
      </c>
    </row>
    <row r="24" spans="1:5" x14ac:dyDescent="0.25">
      <c r="A24" s="21" t="s">
        <v>121</v>
      </c>
      <c r="B24" s="10"/>
      <c r="C24" s="10"/>
      <c r="D24" s="10"/>
      <c r="E24" t="s">
        <v>388</v>
      </c>
    </row>
    <row r="25" spans="1:5" x14ac:dyDescent="0.25">
      <c r="A25" s="33" t="s">
        <v>122</v>
      </c>
      <c r="B25" s="10"/>
      <c r="C25" s="10"/>
      <c r="D25" s="10">
        <v>12</v>
      </c>
    </row>
    <row r="26" spans="1:5" x14ac:dyDescent="0.25">
      <c r="A26" s="33" t="s">
        <v>123</v>
      </c>
      <c r="B26" s="10"/>
      <c r="C26" s="10"/>
      <c r="D26" s="21">
        <f>D25*D16</f>
        <v>299.35200000000003</v>
      </c>
      <c r="E26" t="s">
        <v>331</v>
      </c>
    </row>
    <row r="28" spans="1:5" x14ac:dyDescent="0.25">
      <c r="A28" s="21" t="s">
        <v>124</v>
      </c>
      <c r="B28" s="10"/>
      <c r="C28" s="10"/>
      <c r="D28" s="10"/>
      <c r="E28" t="s">
        <v>389</v>
      </c>
    </row>
    <row r="29" spans="1:5" x14ac:dyDescent="0.25">
      <c r="A29" s="33" t="s">
        <v>125</v>
      </c>
      <c r="B29" s="10"/>
      <c r="C29" s="10"/>
      <c r="D29" s="10">
        <v>20</v>
      </c>
    </row>
    <row r="30" spans="1:5" x14ac:dyDescent="0.25">
      <c r="A30" s="33" t="s">
        <v>126</v>
      </c>
      <c r="B30" s="10"/>
      <c r="C30" s="10"/>
      <c r="D30" s="21">
        <f>D29*D14</f>
        <v>898.04</v>
      </c>
      <c r="E30" t="s">
        <v>332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ROUND(((D22+D26+D30)/(72*10.885))/3,3)</f>
        <v>0.91100000000000003</v>
      </c>
      <c r="F38" s="22"/>
    </row>
  </sheetData>
  <pageMargins left="0.19685039370078741" right="0.19685039370078741" top="0.19685039370078741" bottom="0.19685039370078741" header="0" footer="0"/>
  <pageSetup paperSize="9" scale="75" orientation="portrait" r:id="rId1"/>
  <headerFooter>
    <oddHeader>&amp;C&amp;"MS UI Gothic"&amp;10&amp;K000000•• PROTECTED 関係者外秘&amp;1#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ACF72-D316-4CEB-8F7C-B99A2813F5F7}">
  <sheetPr codeName="List29">
    <tabColor theme="4" tint="0.59999389629810485"/>
  </sheetPr>
  <dimension ref="A14:F38"/>
  <sheetViews>
    <sheetView showRuler="0" zoomScale="98" zoomScaleNormal="98" workbookViewId="0">
      <selection activeCell="D30" activeCellId="1" sqref="D26 D30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44.902000000000001</v>
      </c>
      <c r="E14" t="s">
        <v>459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24.946000000000002</v>
      </c>
      <c r="E16" t="s">
        <v>228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30</v>
      </c>
      <c r="E20" t="s">
        <v>390</v>
      </c>
    </row>
    <row r="21" spans="1:5" x14ac:dyDescent="0.25">
      <c r="A21" s="32" t="s">
        <v>118</v>
      </c>
      <c r="B21" s="12"/>
      <c r="C21" s="18"/>
      <c r="D21" s="12">
        <f>60*D16</f>
        <v>1496.76</v>
      </c>
      <c r="E21" t="s">
        <v>333</v>
      </c>
    </row>
    <row r="22" spans="1:5" x14ac:dyDescent="0.25">
      <c r="A22" s="32" t="s">
        <v>119</v>
      </c>
      <c r="B22" s="12"/>
      <c r="C22" s="11"/>
      <c r="D22" s="19">
        <f>ROUND(D21/D17,3)</f>
        <v>809.05899999999997</v>
      </c>
      <c r="E22" t="s">
        <v>230</v>
      </c>
    </row>
    <row r="24" spans="1:5" x14ac:dyDescent="0.25">
      <c r="A24" s="21" t="s">
        <v>128</v>
      </c>
      <c r="B24" s="10"/>
      <c r="C24" s="10"/>
      <c r="D24" s="10"/>
      <c r="E24" t="s">
        <v>391</v>
      </c>
    </row>
    <row r="25" spans="1:5" x14ac:dyDescent="0.25">
      <c r="A25" s="33" t="s">
        <v>122</v>
      </c>
      <c r="B25" s="10"/>
      <c r="C25" s="10"/>
      <c r="D25" s="10">
        <v>7</v>
      </c>
    </row>
    <row r="26" spans="1:5" x14ac:dyDescent="0.25">
      <c r="A26" s="33" t="s">
        <v>123</v>
      </c>
      <c r="B26" s="10"/>
      <c r="C26" s="10"/>
      <c r="D26" s="21">
        <f>D25*D16</f>
        <v>174.62200000000001</v>
      </c>
      <c r="E26" t="s">
        <v>334</v>
      </c>
    </row>
    <row r="28" spans="1:5" x14ac:dyDescent="0.25">
      <c r="A28" s="21" t="s">
        <v>129</v>
      </c>
      <c r="B28" s="10"/>
      <c r="C28" s="10"/>
      <c r="D28" s="10"/>
      <c r="E28" t="s">
        <v>429</v>
      </c>
    </row>
    <row r="29" spans="1:5" x14ac:dyDescent="0.25">
      <c r="A29" s="33" t="s">
        <v>130</v>
      </c>
      <c r="B29" s="10"/>
      <c r="C29" s="10"/>
      <c r="D29" s="10">
        <v>12</v>
      </c>
    </row>
    <row r="30" spans="1:5" x14ac:dyDescent="0.25">
      <c r="A30" s="33" t="s">
        <v>131</v>
      </c>
      <c r="B30" s="10"/>
      <c r="C30" s="10"/>
      <c r="D30" s="21">
        <f>D29*D14</f>
        <v>538.82400000000007</v>
      </c>
      <c r="E30" t="s">
        <v>335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ROUND(((D22+D26+D30)/(72*10.885))/2,3)</f>
        <v>0.97099999999999997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AEF8A-D737-49F4-A3EF-6F095598FCE1}">
  <sheetPr codeName="List30">
    <tabColor theme="4" tint="0.59999389629810485"/>
  </sheetPr>
  <dimension ref="A14:F48"/>
  <sheetViews>
    <sheetView showRuler="0" topLeftCell="A7" zoomScaleNormal="100" workbookViewId="0">
      <selection activeCell="D41" activeCellId="3" sqref="D30 D33 D37 D41"/>
    </sheetView>
  </sheetViews>
  <sheetFormatPr defaultRowHeight="15" x14ac:dyDescent="0.25"/>
  <cols>
    <col min="2" max="2" width="9" customWidth="1"/>
    <col min="3" max="3" width="8.85546875" customWidth="1"/>
    <col min="4" max="4" width="8.7109375" customWidth="1"/>
    <col min="5" max="5" width="10.42578125" customWidth="1"/>
  </cols>
  <sheetData>
    <row r="14" spans="1:6" x14ac:dyDescent="0.25">
      <c r="A14" t="s">
        <v>113</v>
      </c>
      <c r="D14">
        <v>44.902000000000001</v>
      </c>
      <c r="E14" t="s">
        <v>459</v>
      </c>
    </row>
    <row r="15" spans="1:6" x14ac:dyDescent="0.25">
      <c r="A15" t="s">
        <v>132</v>
      </c>
      <c r="D15">
        <f>ROUND(D14/7,3)</f>
        <v>6.415</v>
      </c>
      <c r="E15" t="s">
        <v>231</v>
      </c>
      <c r="F15" t="s">
        <v>431</v>
      </c>
    </row>
    <row r="16" spans="1:6" x14ac:dyDescent="0.25">
      <c r="A16" t="s">
        <v>134</v>
      </c>
      <c r="D16" s="1">
        <v>3.36</v>
      </c>
      <c r="E16" t="s">
        <v>460</v>
      </c>
    </row>
    <row r="17" spans="1:5" x14ac:dyDescent="0.25">
      <c r="A17" s="26" t="s">
        <v>135</v>
      </c>
      <c r="B17" s="1"/>
      <c r="D17" s="1">
        <v>1.3</v>
      </c>
    </row>
    <row r="19" spans="1:5" x14ac:dyDescent="0.25">
      <c r="A19" s="23" t="s">
        <v>136</v>
      </c>
      <c r="B19" s="14"/>
      <c r="C19" s="14"/>
      <c r="D19" s="15"/>
      <c r="E19" t="s">
        <v>393</v>
      </c>
    </row>
    <row r="20" spans="1:5" x14ac:dyDescent="0.25">
      <c r="A20" s="34" t="s">
        <v>117</v>
      </c>
      <c r="B20" s="14"/>
      <c r="C20" s="15"/>
      <c r="D20" s="14">
        <v>40</v>
      </c>
      <c r="E20" t="s">
        <v>394</v>
      </c>
    </row>
    <row r="21" spans="1:5" x14ac:dyDescent="0.25">
      <c r="A21" s="34" t="s">
        <v>137</v>
      </c>
      <c r="B21" s="14"/>
      <c r="C21" s="23"/>
      <c r="D21" s="24">
        <f>ROUND(D20/D17,3)</f>
        <v>30.768999999999998</v>
      </c>
      <c r="E21" t="s">
        <v>138</v>
      </c>
    </row>
    <row r="23" spans="1:5" x14ac:dyDescent="0.25">
      <c r="A23" s="23" t="s">
        <v>139</v>
      </c>
      <c r="B23" s="14"/>
      <c r="C23" s="14"/>
      <c r="D23" s="15"/>
      <c r="E23" t="s">
        <v>395</v>
      </c>
    </row>
    <row r="24" spans="1:5" x14ac:dyDescent="0.25">
      <c r="A24" s="34" t="s">
        <v>117</v>
      </c>
      <c r="B24" s="14"/>
      <c r="C24" s="15"/>
      <c r="D24" s="14">
        <v>16</v>
      </c>
      <c r="E24" t="s">
        <v>396</v>
      </c>
    </row>
    <row r="25" spans="1:5" x14ac:dyDescent="0.25">
      <c r="A25" s="34" t="s">
        <v>118</v>
      </c>
      <c r="B25" s="15"/>
      <c r="C25" s="15"/>
      <c r="D25" s="44">
        <f>D24*D16*D15</f>
        <v>344.87039999999996</v>
      </c>
      <c r="E25" t="s">
        <v>374</v>
      </c>
    </row>
    <row r="26" spans="1:5" x14ac:dyDescent="0.25">
      <c r="A26" s="34" t="s">
        <v>137</v>
      </c>
      <c r="B26" s="14"/>
      <c r="C26" s="23"/>
      <c r="D26" s="24">
        <f>ROUND(D25/D17,3)</f>
        <v>265.28500000000003</v>
      </c>
      <c r="E26" t="s">
        <v>377</v>
      </c>
    </row>
    <row r="28" spans="1:5" x14ac:dyDescent="0.25">
      <c r="A28" s="21" t="s">
        <v>141</v>
      </c>
      <c r="B28" s="10"/>
      <c r="C28" s="10"/>
      <c r="D28" s="10"/>
    </row>
    <row r="29" spans="1:5" x14ac:dyDescent="0.25">
      <c r="A29" s="33" t="s">
        <v>142</v>
      </c>
      <c r="B29" s="10"/>
      <c r="C29" s="10"/>
      <c r="D29" s="10">
        <v>55</v>
      </c>
    </row>
    <row r="30" spans="1:5" x14ac:dyDescent="0.25">
      <c r="A30" s="33" t="s">
        <v>143</v>
      </c>
      <c r="B30" s="10"/>
      <c r="C30" s="10"/>
      <c r="D30" s="21">
        <f>D29*D15</f>
        <v>352.82499999999999</v>
      </c>
      <c r="E30" t="s">
        <v>336</v>
      </c>
    </row>
    <row r="32" spans="1:5" x14ac:dyDescent="0.25">
      <c r="A32" s="21" t="s">
        <v>144</v>
      </c>
      <c r="B32" s="10"/>
      <c r="C32" s="10"/>
      <c r="D32" s="10"/>
      <c r="E32" t="s">
        <v>397</v>
      </c>
    </row>
    <row r="33" spans="1:6" x14ac:dyDescent="0.25">
      <c r="A33" s="33" t="s">
        <v>145</v>
      </c>
      <c r="B33" s="10"/>
      <c r="C33" s="10"/>
      <c r="D33" s="21">
        <v>90</v>
      </c>
    </row>
    <row r="34" spans="1:6" ht="15.75" x14ac:dyDescent="0.25">
      <c r="F34" s="22"/>
    </row>
    <row r="35" spans="1:6" x14ac:dyDescent="0.25">
      <c r="A35" s="21" t="s">
        <v>146</v>
      </c>
      <c r="B35" s="10"/>
      <c r="C35" s="10"/>
      <c r="D35" s="10"/>
      <c r="E35" t="s">
        <v>398</v>
      </c>
    </row>
    <row r="36" spans="1:6" x14ac:dyDescent="0.25">
      <c r="A36" s="33" t="s">
        <v>147</v>
      </c>
      <c r="B36" s="10"/>
      <c r="C36" s="10"/>
      <c r="D36" s="10">
        <v>4</v>
      </c>
    </row>
    <row r="37" spans="1:6" x14ac:dyDescent="0.25">
      <c r="A37" s="33" t="s">
        <v>148</v>
      </c>
      <c r="B37" s="10"/>
      <c r="C37" s="10"/>
      <c r="D37" s="21">
        <f>D36*D16*D15</f>
        <v>86.21759999999999</v>
      </c>
      <c r="E37" t="s">
        <v>375</v>
      </c>
    </row>
    <row r="39" spans="1:6" x14ac:dyDescent="0.25">
      <c r="A39" s="21" t="s">
        <v>149</v>
      </c>
      <c r="B39" s="10"/>
      <c r="C39" s="10"/>
      <c r="D39" s="10"/>
      <c r="E39" t="s">
        <v>434</v>
      </c>
    </row>
    <row r="40" spans="1:6" x14ac:dyDescent="0.25">
      <c r="A40" s="33" t="s">
        <v>150</v>
      </c>
      <c r="B40" s="10"/>
      <c r="C40" s="10"/>
      <c r="D40" s="10">
        <v>17</v>
      </c>
    </row>
    <row r="41" spans="1:6" x14ac:dyDescent="0.25">
      <c r="A41" s="33" t="s">
        <v>148</v>
      </c>
      <c r="B41" s="10"/>
      <c r="C41" s="10"/>
      <c r="D41" s="21">
        <f>ROUND(D40*D16*D15,3)</f>
        <v>366.42500000000001</v>
      </c>
      <c r="E41" t="s">
        <v>376</v>
      </c>
    </row>
    <row r="48" spans="1:6" ht="15.75" x14ac:dyDescent="0.25">
      <c r="A48" s="4" t="s">
        <v>66</v>
      </c>
      <c r="B48" s="1"/>
      <c r="C48" s="3">
        <f>ROUND(((D21+D26+D30+D33+D37+D41)/(72*10.885))/2,3)</f>
        <v>0.76</v>
      </c>
    </row>
  </sheetData>
  <pageMargins left="0.19685039370078741" right="0.19685039370078741" top="0.19685039370078741" bottom="0.19685039370078741" header="0" footer="0"/>
  <pageSetup paperSize="9" scale="99" orientation="portrait" r:id="rId1"/>
  <headerFooter>
    <oddHeader>&amp;C&amp;"MS UI Gothic"&amp;10&amp;K000000•• PROTECTED 関係者外秘&amp;1#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268D3-50F9-48C6-81BA-DD68304D5267}">
  <sheetPr codeName="List9">
    <tabColor theme="0"/>
  </sheetPr>
  <dimension ref="A1:BT35"/>
  <sheetViews>
    <sheetView workbookViewId="0">
      <pane xSplit="3" ySplit="2" topLeftCell="D3" activePane="bottomRight" state="frozen"/>
      <selection pane="topRight" activeCell="K33" sqref="K33"/>
      <selection pane="bottomLeft" activeCell="K33" sqref="K33"/>
      <selection pane="bottomRight" activeCell="O19" sqref="O19"/>
    </sheetView>
  </sheetViews>
  <sheetFormatPr defaultColWidth="9.140625" defaultRowHeight="15" x14ac:dyDescent="0.25"/>
  <cols>
    <col min="1" max="1" width="17.28515625" style="1" bestFit="1" customWidth="1"/>
    <col min="2" max="4" width="9.140625" style="1"/>
    <col min="5" max="5" width="14.42578125" style="1" customWidth="1"/>
    <col min="6" max="8" width="9.140625" style="1"/>
    <col min="9" max="9" width="14.28515625" style="1" customWidth="1"/>
    <col min="10" max="12" width="9.140625" style="1"/>
    <col min="13" max="13" width="15.5703125" style="1" customWidth="1"/>
    <col min="14" max="14" width="9.140625" style="1"/>
    <col min="15" max="15" width="9" style="1" customWidth="1"/>
    <col min="16" max="16" width="9.140625" style="1"/>
    <col min="17" max="17" width="15.5703125" style="1" customWidth="1"/>
    <col min="18" max="20" width="9.140625" style="1"/>
    <col min="21" max="21" width="15.42578125" style="1" customWidth="1"/>
    <col min="22" max="24" width="9.140625" style="1"/>
    <col min="25" max="25" width="12.5703125" style="1" customWidth="1"/>
    <col min="26" max="28" width="9.140625" style="1"/>
    <col min="29" max="29" width="13.140625" style="1" customWidth="1"/>
    <col min="30" max="32" width="9.140625" style="1"/>
    <col min="33" max="33" width="14.28515625" style="1" customWidth="1"/>
    <col min="34" max="34" width="9.42578125" style="1" customWidth="1"/>
    <col min="35" max="36" width="9.140625" style="1"/>
    <col min="37" max="37" width="14.85546875" style="1" customWidth="1"/>
    <col min="38" max="48" width="9.140625" style="1"/>
    <col min="49" max="49" width="12.85546875" style="1" customWidth="1"/>
    <col min="50" max="58" width="9.140625" style="1"/>
    <col min="59" max="59" width="16.5703125" style="1" bestFit="1" customWidth="1"/>
    <col min="60" max="16384" width="9.140625" style="1"/>
  </cols>
  <sheetData>
    <row r="1" spans="1:72" ht="15" customHeight="1" x14ac:dyDescent="0.2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/>
      <c r="U1" s="50" t="s">
        <v>1</v>
      </c>
      <c r="V1" s="50"/>
      <c r="W1" s="50"/>
      <c r="X1" s="50"/>
      <c r="Y1" s="50"/>
      <c r="Z1" s="50"/>
      <c r="AA1" s="50"/>
      <c r="AB1" s="50"/>
      <c r="AC1" s="50"/>
      <c r="AD1" s="50"/>
      <c r="AE1" s="50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</row>
    <row r="2" spans="1:72" ht="15" customHeight="1" x14ac:dyDescent="0.2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</row>
    <row r="3" spans="1:72" x14ac:dyDescent="0.25">
      <c r="F3" s="35"/>
      <c r="J3" s="35"/>
      <c r="N3" s="35"/>
      <c r="R3" s="35"/>
      <c r="T3"/>
      <c r="V3" s="35"/>
      <c r="Z3" s="35"/>
      <c r="AD3" s="35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72" ht="15" customHeight="1" x14ac:dyDescent="0.25">
      <c r="A4" s="1" t="s">
        <v>2</v>
      </c>
      <c r="C4" s="1">
        <v>79200</v>
      </c>
      <c r="R4" s="35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72" ht="15" customHeight="1" x14ac:dyDescent="0.25">
      <c r="A5" s="1" t="s">
        <v>3</v>
      </c>
      <c r="C5" s="1">
        <v>72</v>
      </c>
      <c r="E5" s="47" t="s">
        <v>4</v>
      </c>
      <c r="F5" s="47"/>
      <c r="G5" s="47"/>
      <c r="I5" s="47" t="s">
        <v>5</v>
      </c>
      <c r="J5" s="47"/>
      <c r="K5" s="47"/>
      <c r="M5" s="47" t="s">
        <v>6</v>
      </c>
      <c r="N5" s="47"/>
      <c r="O5" s="47"/>
      <c r="Q5" s="47" t="s">
        <v>9</v>
      </c>
      <c r="R5" s="47"/>
      <c r="S5" s="47"/>
      <c r="U5" s="47" t="s">
        <v>12</v>
      </c>
      <c r="V5" s="47"/>
      <c r="W5" s="47"/>
      <c r="Y5" s="47" t="s">
        <v>14</v>
      </c>
      <c r="Z5" s="47"/>
      <c r="AA5" s="47"/>
      <c r="AC5" s="47" t="s">
        <v>15</v>
      </c>
      <c r="AD5" s="47"/>
      <c r="AE5" s="47"/>
      <c r="AO5" s="47"/>
      <c r="AP5" s="47"/>
      <c r="AQ5" s="47"/>
      <c r="BE5" s="47"/>
      <c r="BF5" s="47"/>
      <c r="BG5" s="47"/>
    </row>
    <row r="6" spans="1:72" ht="15" customHeight="1" x14ac:dyDescent="0.25">
      <c r="A6" s="1" t="s">
        <v>17</v>
      </c>
      <c r="C6" s="1">
        <v>96</v>
      </c>
      <c r="E6" s="3" t="s">
        <v>18</v>
      </c>
      <c r="I6" s="3" t="s">
        <v>18</v>
      </c>
      <c r="M6" s="3" t="s">
        <v>19</v>
      </c>
      <c r="Q6" s="3" t="s">
        <v>18</v>
      </c>
      <c r="U6" s="3" t="s">
        <v>18</v>
      </c>
      <c r="Y6" s="3" t="s">
        <v>18</v>
      </c>
      <c r="AC6" s="3" t="s">
        <v>18</v>
      </c>
      <c r="AO6" s="3"/>
      <c r="BE6" s="3"/>
    </row>
    <row r="7" spans="1:72" ht="15" customHeight="1" x14ac:dyDescent="0.25">
      <c r="A7" s="1" t="s">
        <v>20</v>
      </c>
      <c r="C7" s="1">
        <v>1045</v>
      </c>
      <c r="E7" s="1" t="s">
        <v>21</v>
      </c>
      <c r="G7" s="1">
        <v>70</v>
      </c>
      <c r="I7" s="1" t="s">
        <v>21</v>
      </c>
      <c r="K7" s="1">
        <v>60</v>
      </c>
      <c r="M7" s="1" t="s">
        <v>22</v>
      </c>
      <c r="O7" s="1">
        <v>40</v>
      </c>
      <c r="Q7" s="1" t="s">
        <v>21</v>
      </c>
      <c r="S7" s="1">
        <v>1180</v>
      </c>
      <c r="U7" s="1" t="s">
        <v>21</v>
      </c>
      <c r="W7" s="1">
        <v>70</v>
      </c>
      <c r="Y7" s="1" t="s">
        <v>23</v>
      </c>
      <c r="AA7" s="1">
        <v>60</v>
      </c>
      <c r="AC7" s="1" t="s">
        <v>21</v>
      </c>
      <c r="AE7" s="1">
        <v>825</v>
      </c>
    </row>
    <row r="8" spans="1:72" ht="15" customHeight="1" x14ac:dyDescent="0.25">
      <c r="A8" s="1" t="s">
        <v>24</v>
      </c>
      <c r="C8" s="1">
        <f>ROUND(C7/C6,3)</f>
        <v>10.885</v>
      </c>
      <c r="E8" s="1" t="s">
        <v>25</v>
      </c>
      <c r="G8" s="1">
        <f>ROUND(G7*C21,3)</f>
        <v>1743.77</v>
      </c>
      <c r="I8" s="1" t="s">
        <v>25</v>
      </c>
      <c r="K8" s="1">
        <f>ROUND(K7*C21,3)</f>
        <v>1494.66</v>
      </c>
      <c r="M8" s="1" t="s">
        <v>26</v>
      </c>
      <c r="O8" s="3">
        <f>ROUND(O7/C16,3)</f>
        <v>30.768999999999998</v>
      </c>
      <c r="Q8" s="1" t="s">
        <v>27</v>
      </c>
      <c r="S8" s="3">
        <f>ROUND(S7/C15,3)</f>
        <v>706.58699999999999</v>
      </c>
      <c r="U8" s="1" t="s">
        <v>25</v>
      </c>
      <c r="W8" s="1">
        <f>ROUND(W7*C26,3)</f>
        <v>514.29</v>
      </c>
      <c r="Y8" s="1" t="s">
        <v>28</v>
      </c>
      <c r="AA8" s="1">
        <f>ROUND(AA7*AA14,3)</f>
        <v>461.28</v>
      </c>
      <c r="AC8" s="1" t="s">
        <v>27</v>
      </c>
      <c r="AE8" s="3">
        <f>ROUND(AE7/C15,3)</f>
        <v>494.012</v>
      </c>
      <c r="BG8" s="3"/>
    </row>
    <row r="9" spans="1:72" x14ac:dyDescent="0.25">
      <c r="A9" s="1" t="s">
        <v>29</v>
      </c>
      <c r="C9" s="1">
        <f>ROUND(C7/48,3)</f>
        <v>21.771000000000001</v>
      </c>
      <c r="E9" s="1" t="s">
        <v>27</v>
      </c>
      <c r="G9" s="3">
        <f>ROUND(G8/C14,3)</f>
        <v>942.57799999999997</v>
      </c>
      <c r="I9" s="1" t="s">
        <v>27</v>
      </c>
      <c r="K9" s="3">
        <f>ROUND(K8/C14,3)</f>
        <v>807.92399999999998</v>
      </c>
      <c r="M9" s="1" t="s">
        <v>30</v>
      </c>
      <c r="O9" s="1">
        <v>16</v>
      </c>
      <c r="S9" s="3"/>
      <c r="U9" s="1" t="s">
        <v>27</v>
      </c>
      <c r="W9" s="3">
        <f>ROUND(W8/C14,3)</f>
        <v>277.995</v>
      </c>
      <c r="Y9" s="1" t="s">
        <v>31</v>
      </c>
      <c r="AA9" s="1">
        <v>60</v>
      </c>
    </row>
    <row r="10" spans="1:72" x14ac:dyDescent="0.25">
      <c r="A10" s="1" t="s">
        <v>32</v>
      </c>
      <c r="C10" s="1">
        <f>ROUND(C7/24,3)</f>
        <v>43.542000000000002</v>
      </c>
      <c r="M10" s="1" t="s">
        <v>33</v>
      </c>
      <c r="O10" s="1">
        <f>ROUND(O9/C16,3)</f>
        <v>12.308</v>
      </c>
      <c r="Q10" s="3" t="s">
        <v>34</v>
      </c>
      <c r="Y10" s="1" t="s">
        <v>35</v>
      </c>
      <c r="AA10" s="1">
        <f>ROUND((AA9*AA14)/2,3)</f>
        <v>230.64</v>
      </c>
      <c r="AC10" s="3" t="s">
        <v>19</v>
      </c>
      <c r="BE10" s="3"/>
    </row>
    <row r="11" spans="1:72" x14ac:dyDescent="0.25">
      <c r="A11" s="1" t="s">
        <v>36</v>
      </c>
      <c r="C11" s="1">
        <f>ROUND(C7/18,3)</f>
        <v>58.055999999999997</v>
      </c>
      <c r="E11" s="3" t="s">
        <v>34</v>
      </c>
      <c r="I11" s="3" t="s">
        <v>34</v>
      </c>
      <c r="M11" s="1" t="s">
        <v>37</v>
      </c>
      <c r="O11" s="1">
        <f>ROUND(O10*O19,3)</f>
        <v>42.832000000000001</v>
      </c>
      <c r="Q11" s="1" t="s">
        <v>38</v>
      </c>
      <c r="S11" s="16">
        <v>2885</v>
      </c>
      <c r="U11" s="3" t="s">
        <v>34</v>
      </c>
      <c r="Y11" s="1" t="s">
        <v>27</v>
      </c>
      <c r="AA11" s="3">
        <f>ROUND((AA8+AA10)/C14,3)</f>
        <v>374.01100000000002</v>
      </c>
      <c r="AC11" s="1" t="s">
        <v>39</v>
      </c>
      <c r="AE11" s="1">
        <v>81</v>
      </c>
      <c r="AQ11" s="3"/>
    </row>
    <row r="12" spans="1:72" x14ac:dyDescent="0.25">
      <c r="A12" s="1" t="s">
        <v>40</v>
      </c>
      <c r="C12" s="1">
        <f>ROUND(C7/12,3)</f>
        <v>87.082999999999998</v>
      </c>
      <c r="E12" s="1" t="s">
        <v>41</v>
      </c>
      <c r="G12" s="1">
        <v>12</v>
      </c>
      <c r="I12" t="s">
        <v>42</v>
      </c>
      <c r="J12"/>
      <c r="K12" s="1">
        <v>7</v>
      </c>
      <c r="M12" s="1" t="s">
        <v>43</v>
      </c>
      <c r="O12" s="3">
        <f>ROUND(O11*O15,3)</f>
        <v>274.38200000000001</v>
      </c>
      <c r="Q12" s="1" t="s">
        <v>44</v>
      </c>
      <c r="S12" s="1">
        <f>ROUND(S11/48,3)</f>
        <v>60.103999999999999</v>
      </c>
      <c r="U12" t="s">
        <v>45</v>
      </c>
      <c r="V12"/>
      <c r="W12">
        <v>10</v>
      </c>
      <c r="AC12" s="1" t="s">
        <v>46</v>
      </c>
      <c r="AE12" s="3">
        <f>ROUND(AE11/C16,3)</f>
        <v>62.308</v>
      </c>
      <c r="AN12"/>
      <c r="BG12" s="3"/>
    </row>
    <row r="13" spans="1:72" x14ac:dyDescent="0.25">
      <c r="E13" s="1" t="s">
        <v>47</v>
      </c>
      <c r="G13" s="3">
        <f>ROUND(G12*C21,3)</f>
        <v>298.93200000000002</v>
      </c>
      <c r="I13" s="45" t="s">
        <v>47</v>
      </c>
      <c r="J13" s="45"/>
      <c r="K13" s="3">
        <f>ROUND(K12*C21,3)</f>
        <v>174.37700000000001</v>
      </c>
      <c r="Q13" s="1" t="s">
        <v>48</v>
      </c>
      <c r="R13"/>
      <c r="S13" s="2">
        <v>9</v>
      </c>
      <c r="U13" s="5" t="s">
        <v>47</v>
      </c>
      <c r="V13" s="5"/>
      <c r="W13" s="13">
        <f>ROUND(W12*C26,3)</f>
        <v>73.47</v>
      </c>
      <c r="Y13" s="3" t="s">
        <v>34</v>
      </c>
      <c r="AC13" s="1" t="s">
        <v>49</v>
      </c>
      <c r="AE13" s="1">
        <v>32</v>
      </c>
      <c r="AN13"/>
      <c r="AO13" s="3"/>
    </row>
    <row r="14" spans="1:72" x14ac:dyDescent="0.25">
      <c r="A14" s="1" t="s">
        <v>50</v>
      </c>
      <c r="C14" s="1">
        <v>1.85</v>
      </c>
      <c r="E14" s="1" t="s">
        <v>51</v>
      </c>
      <c r="G14" s="1">
        <v>20</v>
      </c>
      <c r="I14" t="s">
        <v>52</v>
      </c>
      <c r="J14"/>
      <c r="K14" s="1">
        <v>12</v>
      </c>
      <c r="M14" s="3" t="s">
        <v>34</v>
      </c>
      <c r="Q14" s="5" t="s">
        <v>53</v>
      </c>
      <c r="R14" s="5"/>
      <c r="S14" s="3">
        <f>ROUND(S13*S12,3)</f>
        <v>540.93600000000004</v>
      </c>
      <c r="U14" t="s">
        <v>51</v>
      </c>
      <c r="V14"/>
      <c r="W14">
        <v>15</v>
      </c>
      <c r="Y14" t="s">
        <v>54</v>
      </c>
      <c r="Z14"/>
      <c r="AA14" s="17">
        <v>7.6879999999999997</v>
      </c>
      <c r="AC14" s="1" t="s">
        <v>55</v>
      </c>
      <c r="AE14" s="3">
        <f>ROUND(AE13/C16,3)</f>
        <v>24.614999999999998</v>
      </c>
      <c r="AN14"/>
      <c r="AO14"/>
      <c r="AP14"/>
      <c r="AQ14"/>
      <c r="BG14" s="3"/>
    </row>
    <row r="15" spans="1:72" x14ac:dyDescent="0.25">
      <c r="A15" s="1" t="s">
        <v>56</v>
      </c>
      <c r="C15" s="1">
        <v>1.67</v>
      </c>
      <c r="E15" s="1" t="s">
        <v>57</v>
      </c>
      <c r="G15" s="3">
        <f>ROUND(G14*C19,3)</f>
        <v>896.78</v>
      </c>
      <c r="I15" t="s">
        <v>57</v>
      </c>
      <c r="J15"/>
      <c r="K15" s="3">
        <f>ROUND(K14*C19,3)</f>
        <v>538.06799999999998</v>
      </c>
      <c r="M15" s="1" t="s">
        <v>59</v>
      </c>
      <c r="O15" s="1">
        <f>ROUND(C19/7,3)</f>
        <v>6.4059999999999997</v>
      </c>
      <c r="Q15" s="1" t="s">
        <v>60</v>
      </c>
      <c r="R15"/>
      <c r="S15" s="1">
        <v>6</v>
      </c>
      <c r="U15" t="s">
        <v>57</v>
      </c>
      <c r="V15"/>
      <c r="W15" s="13">
        <f>ROUND(W14*C24,3)</f>
        <v>165.315</v>
      </c>
      <c r="Y15" s="1" t="s">
        <v>61</v>
      </c>
      <c r="Z15" s="5"/>
      <c r="AA15">
        <v>10</v>
      </c>
      <c r="AN15"/>
      <c r="AP15" s="5"/>
      <c r="AQ15"/>
    </row>
    <row r="16" spans="1:72" x14ac:dyDescent="0.25">
      <c r="A16" s="1" t="s">
        <v>62</v>
      </c>
      <c r="C16" s="1">
        <v>1.3</v>
      </c>
      <c r="M16" t="s">
        <v>63</v>
      </c>
      <c r="O16" s="1">
        <v>55</v>
      </c>
      <c r="Q16" s="1" t="s">
        <v>64</v>
      </c>
      <c r="R16"/>
      <c r="S16" s="27">
        <f>ROUND(S15*S19,3)</f>
        <v>40.548000000000002</v>
      </c>
      <c r="U16" t="s">
        <v>65</v>
      </c>
      <c r="V16"/>
      <c r="W16">
        <v>2</v>
      </c>
      <c r="Y16" s="5" t="s">
        <v>47</v>
      </c>
      <c r="Z16"/>
      <c r="AA16" s="13">
        <f>ROUND(AA14*AA15,3)</f>
        <v>76.88</v>
      </c>
      <c r="AC16" s="3" t="s">
        <v>34</v>
      </c>
      <c r="AE16" s="3"/>
      <c r="AN16"/>
      <c r="AO16" s="5"/>
      <c r="AP16"/>
      <c r="AQ16" s="13"/>
      <c r="BE16" s="3"/>
      <c r="BG16" s="3"/>
    </row>
    <row r="17" spans="1:59" ht="15.75" x14ac:dyDescent="0.25">
      <c r="E17" s="4" t="s">
        <v>66</v>
      </c>
      <c r="G17" s="3">
        <f>ROUND(((G9+G13+G15)/(C5*C8))/3,3)</f>
        <v>0.90900000000000003</v>
      </c>
      <c r="I17" s="4" t="s">
        <v>66</v>
      </c>
      <c r="K17" s="3">
        <f>ROUND(((K9+K13+K15)/(C5*C8))/2,3)</f>
        <v>0.97</v>
      </c>
      <c r="M17" s="1" t="s">
        <v>67</v>
      </c>
      <c r="N17"/>
      <c r="O17" s="3">
        <f>ROUND(O16*O15,3)</f>
        <v>352.33</v>
      </c>
      <c r="U17" s="1" t="s">
        <v>68</v>
      </c>
      <c r="W17" s="3">
        <f>ROUND(W16*2*C24,3)</f>
        <v>44.084000000000003</v>
      </c>
      <c r="Y17" t="s">
        <v>69</v>
      </c>
      <c r="Z17"/>
      <c r="AA17">
        <v>10</v>
      </c>
      <c r="AC17" s="1" t="s">
        <v>70</v>
      </c>
      <c r="AE17" s="1">
        <v>120</v>
      </c>
      <c r="AO17"/>
      <c r="AP17"/>
      <c r="AQ17"/>
    </row>
    <row r="18" spans="1:59" x14ac:dyDescent="0.25">
      <c r="A18" s="11" t="s">
        <v>72</v>
      </c>
      <c r="B18" s="12"/>
      <c r="C18" s="12"/>
      <c r="M18" s="5" t="s">
        <v>73</v>
      </c>
      <c r="N18" s="5"/>
      <c r="O18" s="3">
        <v>90</v>
      </c>
      <c r="Q18" s="3" t="s">
        <v>19</v>
      </c>
      <c r="Y18" t="s">
        <v>74</v>
      </c>
      <c r="Z18"/>
      <c r="AA18" s="13">
        <f>ROUND(AA17*AA14,3)</f>
        <v>76.88</v>
      </c>
      <c r="AC18" s="1" t="s">
        <v>75</v>
      </c>
      <c r="AE18" s="1">
        <v>6.8900000000000003E-2</v>
      </c>
      <c r="AO18"/>
      <c r="AP18"/>
      <c r="AQ18" s="13"/>
    </row>
    <row r="19" spans="1:59" ht="15.75" x14ac:dyDescent="0.25">
      <c r="A19" s="12" t="s">
        <v>77</v>
      </c>
      <c r="B19" s="12"/>
      <c r="C19" s="16">
        <v>44.838999999999999</v>
      </c>
      <c r="M19" s="1" t="s">
        <v>78</v>
      </c>
      <c r="O19" s="1">
        <v>3.48</v>
      </c>
      <c r="Q19" s="26" t="s">
        <v>79</v>
      </c>
      <c r="S19" s="16">
        <v>6.758</v>
      </c>
      <c r="U19" s="4" t="s">
        <v>66</v>
      </c>
      <c r="W19" s="3">
        <f>ROUND(((W9+W13+W15+W17)/(C5*C8)),3)</f>
        <v>0.71599999999999997</v>
      </c>
      <c r="Y19" t="s">
        <v>80</v>
      </c>
      <c r="Z19"/>
      <c r="AA19">
        <v>10</v>
      </c>
      <c r="AC19" s="26" t="s">
        <v>233</v>
      </c>
      <c r="AE19" s="3">
        <f>ROUND(AE17*AE18,3)</f>
        <v>8.2680000000000007</v>
      </c>
      <c r="AO19"/>
      <c r="AP19"/>
      <c r="AQ19"/>
    </row>
    <row r="20" spans="1:59" ht="15" customHeight="1" x14ac:dyDescent="0.25">
      <c r="A20" s="12" t="s">
        <v>83</v>
      </c>
      <c r="B20" s="12"/>
      <c r="C20" s="12">
        <v>1.8</v>
      </c>
      <c r="D20"/>
      <c r="E20"/>
      <c r="F20"/>
      <c r="G20"/>
      <c r="M20" t="s">
        <v>84</v>
      </c>
      <c r="N20"/>
      <c r="O20">
        <v>4</v>
      </c>
      <c r="Q20" s="26" t="s">
        <v>85</v>
      </c>
      <c r="S20" s="3">
        <v>0</v>
      </c>
      <c r="Y20" t="s">
        <v>86</v>
      </c>
      <c r="Z20"/>
      <c r="AA20" s="13">
        <f>ROUND(AA19*AA14,3)</f>
        <v>76.88</v>
      </c>
      <c r="AC20" s="1" t="s">
        <v>71</v>
      </c>
      <c r="AE20" s="16">
        <v>302</v>
      </c>
      <c r="AO20"/>
      <c r="AP20"/>
      <c r="AQ20" s="13"/>
      <c r="BG20" s="3"/>
    </row>
    <row r="21" spans="1:59" ht="15" customHeight="1" x14ac:dyDescent="0.25">
      <c r="A21" s="12" t="s">
        <v>88</v>
      </c>
      <c r="B21" s="12"/>
      <c r="C21" s="12">
        <f>ROUND(C19/C20,3)</f>
        <v>24.911000000000001</v>
      </c>
      <c r="D21"/>
      <c r="E21"/>
      <c r="F21"/>
      <c r="G21"/>
      <c r="M21" t="s">
        <v>89</v>
      </c>
      <c r="N21"/>
      <c r="O21" s="6">
        <f>O20*O19</f>
        <v>13.92</v>
      </c>
      <c r="Q21" s="26" t="s">
        <v>90</v>
      </c>
      <c r="S21" s="1">
        <v>4</v>
      </c>
      <c r="Y21" t="s">
        <v>65</v>
      </c>
      <c r="AA21" s="2">
        <v>2</v>
      </c>
      <c r="AC21" s="1" t="s">
        <v>76</v>
      </c>
      <c r="AE21" s="1">
        <f>ROUND(AE20/C11,3)</f>
        <v>5.202</v>
      </c>
      <c r="AO21"/>
      <c r="AQ21" s="2"/>
    </row>
    <row r="22" spans="1:59" x14ac:dyDescent="0.25">
      <c r="D22"/>
      <c r="E22"/>
      <c r="F22"/>
      <c r="G22"/>
      <c r="M22" t="s">
        <v>92</v>
      </c>
      <c r="N22"/>
      <c r="O22" s="27">
        <f>O21*O15</f>
        <v>89.171520000000001</v>
      </c>
      <c r="Q22" s="26" t="s">
        <v>93</v>
      </c>
      <c r="S22" s="1">
        <f>S20*S21</f>
        <v>0</v>
      </c>
      <c r="Y22" s="1" t="s">
        <v>68</v>
      </c>
      <c r="AA22" s="3">
        <f>ROUND(AA14*AA21*2,3)</f>
        <v>30.751999999999999</v>
      </c>
      <c r="AC22" s="1" t="s">
        <v>82</v>
      </c>
      <c r="AE22" s="1">
        <v>10</v>
      </c>
      <c r="AQ22" s="3"/>
      <c r="BG22" s="3"/>
    </row>
    <row r="23" spans="1:59" x14ac:dyDescent="0.25">
      <c r="A23" s="8" t="s">
        <v>95</v>
      </c>
      <c r="B23" s="9"/>
      <c r="C23" s="9"/>
      <c r="D23"/>
      <c r="E23"/>
      <c r="F23"/>
      <c r="G23"/>
      <c r="M23" t="s">
        <v>96</v>
      </c>
      <c r="O23" s="1">
        <v>17</v>
      </c>
      <c r="Q23" s="26" t="s">
        <v>97</v>
      </c>
      <c r="S23" s="1">
        <f>ROUND(S20*2.2*S22,3)</f>
        <v>0</v>
      </c>
      <c r="AC23" s="1" t="s">
        <v>87</v>
      </c>
      <c r="AE23" s="3">
        <f>ROUND(AE21*AE22,3)</f>
        <v>52.02</v>
      </c>
      <c r="BE23"/>
      <c r="BG23" s="2"/>
    </row>
    <row r="24" spans="1:59" ht="15.75" x14ac:dyDescent="0.25">
      <c r="A24" s="9" t="s">
        <v>77</v>
      </c>
      <c r="B24" s="9"/>
      <c r="C24" s="16">
        <v>11.021000000000001</v>
      </c>
      <c r="D24"/>
      <c r="E24"/>
      <c r="F24"/>
      <c r="G24"/>
      <c r="M24" t="s">
        <v>98</v>
      </c>
      <c r="O24" s="1">
        <f>ROUND(O23*O19,3)</f>
        <v>59.16</v>
      </c>
      <c r="Q24" s="26" t="s">
        <v>99</v>
      </c>
      <c r="S24" s="3">
        <f>ROUND(S23/1.3,3)</f>
        <v>0</v>
      </c>
      <c r="Y24" s="4" t="s">
        <v>66</v>
      </c>
      <c r="AA24" s="3">
        <f>ROUND(((AA11+AA16+AA18+AA22+AA20)/(C5*C8)),3)</f>
        <v>0.81100000000000005</v>
      </c>
      <c r="AC24" s="1" t="s">
        <v>91</v>
      </c>
      <c r="AE24" s="1">
        <v>40</v>
      </c>
      <c r="AO24" s="4"/>
      <c r="AQ24" s="3"/>
      <c r="BG24" s="3"/>
    </row>
    <row r="25" spans="1:59" x14ac:dyDescent="0.25">
      <c r="A25" s="9" t="s">
        <v>100</v>
      </c>
      <c r="B25" s="9"/>
      <c r="C25" s="9">
        <v>1.5</v>
      </c>
      <c r="D25"/>
      <c r="E25"/>
      <c r="F25"/>
      <c r="G25"/>
      <c r="M25" t="s">
        <v>101</v>
      </c>
      <c r="O25" s="3">
        <f>ROUND(O24*O15,3)</f>
        <v>378.97899999999998</v>
      </c>
      <c r="Q25" s="26" t="s">
        <v>102</v>
      </c>
      <c r="S25" s="1">
        <v>1.3</v>
      </c>
      <c r="AC25" s="1" t="s">
        <v>94</v>
      </c>
      <c r="AE25" s="3">
        <f>ROUND(AE21*AE24,3)</f>
        <v>208.08</v>
      </c>
    </row>
    <row r="26" spans="1:59" ht="15.75" x14ac:dyDescent="0.25">
      <c r="A26" s="9" t="s">
        <v>88</v>
      </c>
      <c r="B26" s="10"/>
      <c r="C26" s="10">
        <f>ROUND(C24/C25,3)</f>
        <v>7.3470000000000004</v>
      </c>
      <c r="D26"/>
      <c r="E26"/>
      <c r="F26"/>
      <c r="G26"/>
      <c r="Q26" s="26" t="s">
        <v>103</v>
      </c>
      <c r="S26" s="1">
        <f>ROUND(S25*S19,3)</f>
        <v>8.7850000000000001</v>
      </c>
      <c r="AC26" s="1" t="s">
        <v>104</v>
      </c>
      <c r="AE26" s="3">
        <v>410</v>
      </c>
      <c r="BE26" s="4"/>
      <c r="BG26" s="3"/>
    </row>
    <row r="27" spans="1:59" ht="15.75" x14ac:dyDescent="0.25">
      <c r="A27"/>
      <c r="B27"/>
      <c r="C27"/>
      <c r="D27"/>
      <c r="E27"/>
      <c r="F27"/>
      <c r="G27"/>
      <c r="M27" s="4" t="s">
        <v>66</v>
      </c>
      <c r="O27" s="3">
        <f>ROUND(((O8+O12+O17+O18+O22+O25)/(C5*C8))/2,3)</f>
        <v>0.77600000000000002</v>
      </c>
      <c r="Q27" s="26" t="s">
        <v>105</v>
      </c>
      <c r="S27" s="1">
        <f>ROUND(((S20*2.2*2)+(S19*1.8))*S26,3)</f>
        <v>106.864</v>
      </c>
      <c r="AC27" t="s">
        <v>65</v>
      </c>
      <c r="AE27" s="2">
        <v>2</v>
      </c>
    </row>
    <row r="28" spans="1:59" x14ac:dyDescent="0.25">
      <c r="A28"/>
      <c r="B28"/>
      <c r="C28"/>
      <c r="D28"/>
      <c r="E28"/>
      <c r="F28"/>
      <c r="G28"/>
      <c r="Q28" s="26" t="s">
        <v>106</v>
      </c>
      <c r="S28" s="3">
        <f>ROUND(S27/1.3,3)</f>
        <v>82.203000000000003</v>
      </c>
      <c r="AC28" s="1" t="s">
        <v>68</v>
      </c>
      <c r="AE28" s="3">
        <f>ROUND(AE21*AE27*2,3)</f>
        <v>20.808</v>
      </c>
    </row>
    <row r="29" spans="1:59" x14ac:dyDescent="0.25">
      <c r="A29"/>
      <c r="B29"/>
      <c r="C29">
        <f>G17+K17+O27+W19+AA24+AE30+S30</f>
        <v>6.0439999999999996</v>
      </c>
      <c r="D29"/>
      <c r="E29"/>
      <c r="F29"/>
      <c r="G29"/>
    </row>
    <row r="30" spans="1:59" ht="15.75" x14ac:dyDescent="0.25">
      <c r="A30"/>
      <c r="B30"/>
      <c r="C30"/>
      <c r="D30"/>
      <c r="E30"/>
      <c r="F30"/>
      <c r="G30"/>
      <c r="Q30" s="4" t="s">
        <v>66</v>
      </c>
      <c r="S30" s="3">
        <f>ROUND(((S8+S14+S16+S24+S28)/($C$5*$C$9)),3)</f>
        <v>0.874</v>
      </c>
      <c r="U30" s="1" t="s">
        <v>108</v>
      </c>
      <c r="AC30" s="4" t="s">
        <v>66</v>
      </c>
      <c r="AE30" s="3">
        <f>ROUND(((AE8+AE12+AE26+AE14+AE19+AE25+AE23+AE28)/(C5*18)),3)</f>
        <v>0.98799999999999999</v>
      </c>
    </row>
    <row r="31" spans="1:59" ht="15" customHeight="1" x14ac:dyDescent="0.25">
      <c r="A31"/>
      <c r="B31"/>
      <c r="C31"/>
      <c r="D31"/>
      <c r="E31"/>
      <c r="F31"/>
      <c r="G31"/>
      <c r="Q31" s="4"/>
      <c r="S31" s="3"/>
    </row>
    <row r="32" spans="1:59" ht="15" customHeight="1" x14ac:dyDescent="0.25">
      <c r="A32"/>
      <c r="B32"/>
      <c r="C32"/>
      <c r="D32"/>
      <c r="E32"/>
      <c r="F32"/>
      <c r="G32"/>
    </row>
    <row r="33" spans="1:7" x14ac:dyDescent="0.25">
      <c r="A33"/>
      <c r="B33"/>
      <c r="C33"/>
      <c r="D33"/>
      <c r="E33" t="s">
        <v>234</v>
      </c>
      <c r="F33"/>
      <c r="G33"/>
    </row>
    <row r="34" spans="1:7" x14ac:dyDescent="0.25">
      <c r="A34"/>
      <c r="B34"/>
      <c r="C34"/>
      <c r="D34"/>
      <c r="E34"/>
      <c r="F34"/>
      <c r="G34"/>
    </row>
    <row r="35" spans="1:7" x14ac:dyDescent="0.25">
      <c r="A35"/>
      <c r="B35"/>
      <c r="C35" s="46"/>
      <c r="D35" s="46"/>
      <c r="E35" s="46"/>
      <c r="F35" s="46"/>
      <c r="G35" s="46"/>
    </row>
  </sheetData>
  <mergeCells count="13">
    <mergeCell ref="I13:J13"/>
    <mergeCell ref="C35:G35"/>
    <mergeCell ref="A1:S2"/>
    <mergeCell ref="U1:AE2"/>
    <mergeCell ref="U5:W5"/>
    <mergeCell ref="AO5:AQ5"/>
    <mergeCell ref="Y5:AA5"/>
    <mergeCell ref="AC5:AE5"/>
    <mergeCell ref="BE5:BG5"/>
    <mergeCell ref="E5:G5"/>
    <mergeCell ref="I5:K5"/>
    <mergeCell ref="M5:O5"/>
    <mergeCell ref="Q5:S5"/>
  </mergeCells>
  <pageMargins left="0.7" right="0.7" top="0.78740157499999996" bottom="0.78740157499999996" header="0.3" footer="0.3"/>
  <pageSetup paperSize="9" orientation="portrait" r:id="rId1"/>
  <headerFooter>
    <oddHeader>&amp;C&amp;"MS UI Gothic"&amp;10&amp;K000000•• PROTECTED 関係者外秘&amp;1#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63DDA-2D72-4513-935C-1C48E9A2F85D}">
  <sheetPr codeName="List3">
    <tabColor rgb="FFEE5454"/>
  </sheetPr>
  <dimension ref="A13:F38"/>
  <sheetViews>
    <sheetView showRuler="0" topLeftCell="A4" zoomScaleNormal="100" workbookViewId="0">
      <selection activeCell="D29" activeCellId="1" sqref="D25 D29"/>
    </sheetView>
  </sheetViews>
  <sheetFormatPr defaultRowHeight="15" x14ac:dyDescent="0.25"/>
  <cols>
    <col min="3" max="3" width="8.5703125" customWidth="1"/>
    <col min="5" max="5" width="9.28515625" customWidth="1"/>
  </cols>
  <sheetData>
    <row r="13" spans="1:5" x14ac:dyDescent="0.25">
      <c r="A13" t="s">
        <v>113</v>
      </c>
      <c r="D13">
        <v>44.86</v>
      </c>
      <c r="E13" t="s">
        <v>386</v>
      </c>
    </row>
    <row r="14" spans="1:5" x14ac:dyDescent="0.25">
      <c r="A14" t="s">
        <v>114</v>
      </c>
      <c r="D14">
        <v>1.8</v>
      </c>
      <c r="E14" t="s">
        <v>430</v>
      </c>
    </row>
    <row r="15" spans="1:5" x14ac:dyDescent="0.25">
      <c r="A15" t="s">
        <v>88</v>
      </c>
      <c r="D15">
        <f>ROUND(D13/D14,3)</f>
        <v>24.922000000000001</v>
      </c>
      <c r="E15" t="s">
        <v>115</v>
      </c>
    </row>
    <row r="16" spans="1:5" x14ac:dyDescent="0.25">
      <c r="A16" t="s">
        <v>116</v>
      </c>
      <c r="D16">
        <v>1.85</v>
      </c>
    </row>
    <row r="18" spans="1:5" x14ac:dyDescent="0.25">
      <c r="A18" s="11" t="s">
        <v>18</v>
      </c>
      <c r="B18" s="12"/>
      <c r="C18" s="12"/>
      <c r="D18" s="18"/>
    </row>
    <row r="19" spans="1:5" x14ac:dyDescent="0.25">
      <c r="A19" s="32" t="s">
        <v>117</v>
      </c>
      <c r="B19" s="12"/>
      <c r="C19" s="18"/>
      <c r="D19" s="12">
        <v>30</v>
      </c>
      <c r="E19" t="s">
        <v>390</v>
      </c>
    </row>
    <row r="20" spans="1:5" x14ac:dyDescent="0.25">
      <c r="A20" s="32" t="s">
        <v>118</v>
      </c>
      <c r="B20" s="12"/>
      <c r="C20" s="18"/>
      <c r="D20" s="12">
        <f>60*D15</f>
        <v>1495.32</v>
      </c>
      <c r="E20" t="s">
        <v>248</v>
      </c>
    </row>
    <row r="21" spans="1:5" x14ac:dyDescent="0.25">
      <c r="A21" s="32" t="s">
        <v>119</v>
      </c>
      <c r="B21" s="12"/>
      <c r="C21" s="11"/>
      <c r="D21" s="19">
        <f>ROUND(D20/D16,3)</f>
        <v>808.28099999999995</v>
      </c>
      <c r="E21" t="s">
        <v>127</v>
      </c>
    </row>
    <row r="23" spans="1:5" x14ac:dyDescent="0.25">
      <c r="A23" s="21" t="s">
        <v>128</v>
      </c>
      <c r="B23" s="10"/>
      <c r="C23" s="10"/>
      <c r="D23" s="10"/>
      <c r="E23" t="s">
        <v>391</v>
      </c>
    </row>
    <row r="24" spans="1:5" x14ac:dyDescent="0.25">
      <c r="A24" s="33" t="s">
        <v>122</v>
      </c>
      <c r="B24" s="10"/>
      <c r="C24" s="10"/>
      <c r="D24" s="10">
        <v>7</v>
      </c>
    </row>
    <row r="25" spans="1:5" x14ac:dyDescent="0.25">
      <c r="A25" s="33" t="s">
        <v>123</v>
      </c>
      <c r="B25" s="10"/>
      <c r="C25" s="10"/>
      <c r="D25" s="21">
        <f>D24*D15</f>
        <v>174.45400000000001</v>
      </c>
      <c r="E25" t="s">
        <v>249</v>
      </c>
    </row>
    <row r="27" spans="1:5" x14ac:dyDescent="0.25">
      <c r="A27" s="21" t="s">
        <v>129</v>
      </c>
      <c r="B27" s="10"/>
      <c r="C27" s="10"/>
      <c r="D27" s="10"/>
      <c r="E27" t="s">
        <v>429</v>
      </c>
    </row>
    <row r="28" spans="1:5" x14ac:dyDescent="0.25">
      <c r="A28" s="33" t="s">
        <v>130</v>
      </c>
      <c r="B28" s="10"/>
      <c r="C28" s="10"/>
      <c r="D28" s="10">
        <v>12</v>
      </c>
    </row>
    <row r="29" spans="1:5" x14ac:dyDescent="0.25">
      <c r="A29" s="33" t="s">
        <v>131</v>
      </c>
      <c r="B29" s="10"/>
      <c r="C29" s="10"/>
      <c r="D29" s="21">
        <f>D28*D13</f>
        <v>538.31999999999994</v>
      </c>
      <c r="E29" t="s">
        <v>250</v>
      </c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ROUND(((D21+D25+D29)/(72*10.885))/2,3)</f>
        <v>0.97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A86-68B7-44D5-8E08-C89957DB7EF1}">
  <sheetPr codeName="List31">
    <tabColor theme="4" tint="0.59999389629810485"/>
  </sheetPr>
  <dimension ref="A14:E48"/>
  <sheetViews>
    <sheetView showRuler="0" topLeftCell="A16" zoomScaleNormal="100" workbookViewId="0">
      <selection activeCell="D45" activeCellId="1" sqref="D41 D45"/>
    </sheetView>
  </sheetViews>
  <sheetFormatPr defaultRowHeight="15" x14ac:dyDescent="0.25"/>
  <cols>
    <col min="3" max="3" width="12.5703125" customWidth="1"/>
    <col min="4" max="4" width="7.42578125" customWidth="1"/>
    <col min="5" max="5" width="9.28515625" customWidth="1"/>
    <col min="8" max="8" width="7.7109375" customWidth="1"/>
  </cols>
  <sheetData>
    <row r="14" spans="1:4" x14ac:dyDescent="0.25">
      <c r="A14" s="26"/>
      <c r="B14" s="1"/>
      <c r="D14" s="1"/>
    </row>
    <row r="17" spans="1:5" x14ac:dyDescent="0.25">
      <c r="A17" t="s">
        <v>151</v>
      </c>
      <c r="D17">
        <v>67.207999999999998</v>
      </c>
      <c r="E17" t="s">
        <v>472</v>
      </c>
    </row>
    <row r="18" spans="1:5" x14ac:dyDescent="0.25">
      <c r="A18" t="s">
        <v>152</v>
      </c>
      <c r="D18">
        <v>2.5</v>
      </c>
    </row>
    <row r="19" spans="1:5" x14ac:dyDescent="0.25">
      <c r="A19" t="s">
        <v>153</v>
      </c>
      <c r="D19">
        <v>4.5830000000000002</v>
      </c>
      <c r="E19" t="s">
        <v>461</v>
      </c>
    </row>
    <row r="20" spans="1:5" x14ac:dyDescent="0.25">
      <c r="A20" t="s">
        <v>154</v>
      </c>
      <c r="D20">
        <v>4</v>
      </c>
      <c r="E20" t="s">
        <v>402</v>
      </c>
    </row>
    <row r="21" spans="1:5" x14ac:dyDescent="0.25">
      <c r="A21" t="s">
        <v>155</v>
      </c>
      <c r="D21">
        <v>1.3</v>
      </c>
      <c r="E21" t="s">
        <v>402</v>
      </c>
    </row>
    <row r="22" spans="1:5" x14ac:dyDescent="0.25">
      <c r="A22" s="26" t="s">
        <v>156</v>
      </c>
      <c r="B22" s="1"/>
      <c r="D22" s="1">
        <v>1.67</v>
      </c>
    </row>
    <row r="23" spans="1:5" x14ac:dyDescent="0.25">
      <c r="A23" s="26" t="s">
        <v>135</v>
      </c>
      <c r="B23" s="1"/>
      <c r="D23" s="1">
        <v>1.3</v>
      </c>
    </row>
    <row r="25" spans="1:5" x14ac:dyDescent="0.25">
      <c r="A25" s="11" t="s">
        <v>18</v>
      </c>
      <c r="B25" s="12"/>
      <c r="C25" s="12"/>
      <c r="D25" s="18"/>
    </row>
    <row r="26" spans="1:5" x14ac:dyDescent="0.25">
      <c r="A26" s="32" t="s">
        <v>117</v>
      </c>
      <c r="B26" s="12"/>
      <c r="C26" s="18"/>
      <c r="D26" s="12">
        <v>700</v>
      </c>
    </row>
    <row r="27" spans="1:5" x14ac:dyDescent="0.25">
      <c r="A27" s="32" t="s">
        <v>119</v>
      </c>
      <c r="B27" s="12"/>
      <c r="C27" s="11"/>
      <c r="D27" s="31">
        <f>ROUND(D26/D22,3)</f>
        <v>419.16199999999998</v>
      </c>
      <c r="E27" t="s">
        <v>157</v>
      </c>
    </row>
    <row r="29" spans="1:5" x14ac:dyDescent="0.25">
      <c r="A29" s="23" t="s">
        <v>158</v>
      </c>
      <c r="B29" s="14"/>
      <c r="C29" s="14"/>
      <c r="D29" s="15"/>
      <c r="E29" t="s">
        <v>403</v>
      </c>
    </row>
    <row r="30" spans="1:5" x14ac:dyDescent="0.25">
      <c r="A30" s="34" t="s">
        <v>159</v>
      </c>
      <c r="B30" s="14"/>
      <c r="C30" s="15"/>
      <c r="D30" s="14">
        <f>D18*D20</f>
        <v>10</v>
      </c>
      <c r="E30" t="s">
        <v>254</v>
      </c>
    </row>
    <row r="31" spans="1:5" x14ac:dyDescent="0.25">
      <c r="A31" s="15" t="s">
        <v>160</v>
      </c>
      <c r="B31" s="15"/>
      <c r="C31" s="15"/>
      <c r="D31" s="15">
        <f>D30*D18*2.2</f>
        <v>55.000000000000007</v>
      </c>
      <c r="E31" t="s">
        <v>462</v>
      </c>
    </row>
    <row r="32" spans="1:5" x14ac:dyDescent="0.25">
      <c r="A32" s="34" t="s">
        <v>137</v>
      </c>
      <c r="B32" s="14"/>
      <c r="C32" s="23"/>
      <c r="D32" s="24">
        <f>ROUND(D31/D23,3)</f>
        <v>42.308</v>
      </c>
      <c r="E32" t="s">
        <v>161</v>
      </c>
    </row>
    <row r="34" spans="1:5" x14ac:dyDescent="0.25">
      <c r="A34" s="23" t="s">
        <v>162</v>
      </c>
      <c r="B34" s="14"/>
      <c r="C34" s="14"/>
      <c r="D34" s="15"/>
      <c r="E34" t="s">
        <v>408</v>
      </c>
    </row>
    <row r="35" spans="1:5" x14ac:dyDescent="0.25">
      <c r="A35" s="34" t="s">
        <v>159</v>
      </c>
      <c r="B35" s="14"/>
      <c r="C35" s="15"/>
      <c r="D35" s="14">
        <f>ROUND(D19*D21,3)</f>
        <v>5.9580000000000002</v>
      </c>
      <c r="E35" t="s">
        <v>337</v>
      </c>
    </row>
    <row r="36" spans="1:5" x14ac:dyDescent="0.25">
      <c r="A36" s="15" t="s">
        <v>160</v>
      </c>
      <c r="B36" s="15"/>
      <c r="C36" s="15"/>
      <c r="D36" s="44">
        <f>ROUND(((D18*2.2*2)+(D19*1.8))*D35,3)</f>
        <v>114.688</v>
      </c>
      <c r="E36" t="s">
        <v>463</v>
      </c>
    </row>
    <row r="37" spans="1:5" x14ac:dyDescent="0.25">
      <c r="A37" s="34" t="s">
        <v>137</v>
      </c>
      <c r="B37" s="14"/>
      <c r="C37" s="23"/>
      <c r="D37" s="24">
        <f>ROUND(D36/D23,3)</f>
        <v>88.221999999999994</v>
      </c>
      <c r="E37" t="s">
        <v>232</v>
      </c>
    </row>
    <row r="39" spans="1:5" x14ac:dyDescent="0.25">
      <c r="A39" s="21" t="s">
        <v>164</v>
      </c>
      <c r="B39" s="10"/>
      <c r="C39" s="10"/>
      <c r="D39" s="10"/>
      <c r="E39" t="s">
        <v>406</v>
      </c>
    </row>
    <row r="40" spans="1:5" x14ac:dyDescent="0.25">
      <c r="A40" s="33" t="s">
        <v>165</v>
      </c>
      <c r="B40" s="10"/>
      <c r="C40" s="10"/>
      <c r="D40" s="10">
        <v>9</v>
      </c>
      <c r="E40" t="s">
        <v>407</v>
      </c>
    </row>
    <row r="41" spans="1:5" x14ac:dyDescent="0.25">
      <c r="A41" s="33" t="s">
        <v>166</v>
      </c>
      <c r="B41" s="10"/>
      <c r="C41" s="10"/>
      <c r="D41" s="21">
        <f>D40*D17</f>
        <v>604.87199999999996</v>
      </c>
      <c r="E41" t="s">
        <v>256</v>
      </c>
    </row>
    <row r="43" spans="1:5" x14ac:dyDescent="0.25">
      <c r="A43" s="21" t="s">
        <v>167</v>
      </c>
      <c r="B43" s="10"/>
      <c r="C43" s="10"/>
      <c r="D43" s="10"/>
      <c r="E43" t="s">
        <v>409</v>
      </c>
    </row>
    <row r="44" spans="1:5" x14ac:dyDescent="0.25">
      <c r="A44" s="33" t="s">
        <v>168</v>
      </c>
      <c r="B44" s="10"/>
      <c r="C44" s="10"/>
      <c r="D44" s="10">
        <v>6</v>
      </c>
      <c r="E44" t="s">
        <v>108</v>
      </c>
    </row>
    <row r="45" spans="1:5" x14ac:dyDescent="0.25">
      <c r="A45" s="33" t="s">
        <v>169</v>
      </c>
      <c r="B45" s="10"/>
      <c r="C45" s="10"/>
      <c r="D45" s="21">
        <f>D44*D19</f>
        <v>27.498000000000001</v>
      </c>
      <c r="E45" t="s">
        <v>338</v>
      </c>
    </row>
    <row r="48" spans="1:5" ht="15.75" x14ac:dyDescent="0.25">
      <c r="A48" s="4" t="s">
        <v>66</v>
      </c>
      <c r="B48" s="1"/>
      <c r="C48" s="3">
        <f>ROUND(((D27+D32+D37+D41+D45)/(72*21.771)),3)</f>
        <v>0.754</v>
      </c>
    </row>
  </sheetData>
  <pageMargins left="0.19685039370078741" right="0.19685039370078741" top="0.19685039370078741" bottom="0.19685039370078741" header="0" footer="0"/>
  <pageSetup paperSize="9" scale="99" orientation="portrait" r:id="rId1"/>
  <headerFooter>
    <oddHeader>&amp;C&amp;"MS UI Gothic"&amp;10&amp;K000000•• PROTECTED 関係者外秘&amp;1#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31631-FE8C-43EA-B561-6819555F92FA}">
  <sheetPr codeName="List32">
    <tabColor rgb="FFBD92DE"/>
  </sheetPr>
  <dimension ref="A14:F38"/>
  <sheetViews>
    <sheetView workbookViewId="0">
      <selection activeCell="D30" activeCellId="1" sqref="D26 D30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44.838999999999999</v>
      </c>
      <c r="E14" t="s">
        <v>464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24.911000000000001</v>
      </c>
      <c r="E16" t="s">
        <v>235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1743.77</v>
      </c>
      <c r="E21" t="s">
        <v>339</v>
      </c>
    </row>
    <row r="22" spans="1:5" x14ac:dyDescent="0.25">
      <c r="A22" s="32" t="s">
        <v>119</v>
      </c>
      <c r="B22" s="12"/>
      <c r="C22" s="11"/>
      <c r="D22" s="19">
        <f>ROUND(D21/D17,3)</f>
        <v>942.57799999999997</v>
      </c>
      <c r="E22" t="s">
        <v>236</v>
      </c>
    </row>
    <row r="24" spans="1:5" x14ac:dyDescent="0.25">
      <c r="A24" s="21" t="s">
        <v>121</v>
      </c>
      <c r="B24" s="10"/>
      <c r="C24" s="10"/>
      <c r="D24" s="10"/>
      <c r="E24" t="s">
        <v>388</v>
      </c>
    </row>
    <row r="25" spans="1:5" x14ac:dyDescent="0.25">
      <c r="A25" s="33" t="s">
        <v>122</v>
      </c>
      <c r="B25" s="10"/>
      <c r="C25" s="10"/>
      <c r="D25" s="10">
        <v>12</v>
      </c>
    </row>
    <row r="26" spans="1:5" x14ac:dyDescent="0.25">
      <c r="A26" s="33" t="s">
        <v>123</v>
      </c>
      <c r="B26" s="10"/>
      <c r="C26" s="10"/>
      <c r="D26" s="21">
        <f>D25*D16</f>
        <v>298.93200000000002</v>
      </c>
      <c r="E26" t="s">
        <v>340</v>
      </c>
    </row>
    <row r="28" spans="1:5" x14ac:dyDescent="0.25">
      <c r="A28" s="21" t="s">
        <v>124</v>
      </c>
      <c r="B28" s="10"/>
      <c r="C28" s="10"/>
      <c r="D28" s="10"/>
      <c r="E28" t="s">
        <v>389</v>
      </c>
    </row>
    <row r="29" spans="1:5" x14ac:dyDescent="0.25">
      <c r="A29" s="33" t="s">
        <v>125</v>
      </c>
      <c r="B29" s="10"/>
      <c r="C29" s="10"/>
      <c r="D29" s="10">
        <v>20</v>
      </c>
    </row>
    <row r="30" spans="1:5" x14ac:dyDescent="0.25">
      <c r="A30" s="33" t="s">
        <v>126</v>
      </c>
      <c r="B30" s="10"/>
      <c r="C30" s="10"/>
      <c r="D30" s="21">
        <f>D29*D14</f>
        <v>896.78</v>
      </c>
      <c r="E30" t="s">
        <v>341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ROUND(((D22+D26+D30)/(72*10.885))/3,3)</f>
        <v>0.90900000000000003</v>
      </c>
      <c r="F38" s="22"/>
    </row>
  </sheetData>
  <pageMargins left="0.19685039370078741" right="0.19685039370078741" top="0.19685039370078741" bottom="0.19685039370078741" header="0" footer="0"/>
  <pageSetup paperSize="9" scale="75" orientation="portrait" r:id="rId1"/>
  <headerFooter>
    <oddHeader>&amp;C&amp;"MS UI Gothic"&amp;10&amp;K000000•• PROTECTED 関係者外秘&amp;1#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1DD62-01D1-4958-A792-23BD3F9B3E34}">
  <sheetPr codeName="List33">
    <tabColor rgb="FFBD92DE"/>
  </sheetPr>
  <dimension ref="A14:F38"/>
  <sheetViews>
    <sheetView showRuler="0" topLeftCell="A4" zoomScaleNormal="100" workbookViewId="0">
      <selection activeCell="D30" activeCellId="1" sqref="D26 D30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44.838999999999999</v>
      </c>
      <c r="E14" t="s">
        <v>464</v>
      </c>
    </row>
    <row r="15" spans="1:5" x14ac:dyDescent="0.25">
      <c r="A15" t="s">
        <v>114</v>
      </c>
      <c r="D15">
        <v>1.8</v>
      </c>
      <c r="E15" t="s">
        <v>430</v>
      </c>
    </row>
    <row r="16" spans="1:5" x14ac:dyDescent="0.25">
      <c r="A16" t="s">
        <v>88</v>
      </c>
      <c r="D16">
        <f>ROUND(D14/D15,3)</f>
        <v>24.911000000000001</v>
      </c>
      <c r="E16" t="s">
        <v>235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30</v>
      </c>
      <c r="E20" t="s">
        <v>390</v>
      </c>
    </row>
    <row r="21" spans="1:5" x14ac:dyDescent="0.25">
      <c r="A21" s="32" t="s">
        <v>118</v>
      </c>
      <c r="B21" s="12"/>
      <c r="C21" s="18"/>
      <c r="D21" s="12">
        <f>60*D16</f>
        <v>1494.66</v>
      </c>
      <c r="E21" t="s">
        <v>342</v>
      </c>
    </row>
    <row r="22" spans="1:5" x14ac:dyDescent="0.25">
      <c r="A22" s="32" t="s">
        <v>119</v>
      </c>
      <c r="B22" s="12"/>
      <c r="C22" s="11"/>
      <c r="D22" s="19">
        <f>ROUND(D21/D17,3)</f>
        <v>807.92399999999998</v>
      </c>
      <c r="E22" t="s">
        <v>237</v>
      </c>
    </row>
    <row r="24" spans="1:5" x14ac:dyDescent="0.25">
      <c r="A24" s="21" t="s">
        <v>128</v>
      </c>
      <c r="B24" s="10"/>
      <c r="C24" s="10"/>
      <c r="D24" s="10"/>
      <c r="E24" t="s">
        <v>391</v>
      </c>
    </row>
    <row r="25" spans="1:5" x14ac:dyDescent="0.25">
      <c r="A25" s="33" t="s">
        <v>122</v>
      </c>
      <c r="B25" s="10"/>
      <c r="C25" s="10"/>
      <c r="D25" s="10">
        <v>7</v>
      </c>
    </row>
    <row r="26" spans="1:5" x14ac:dyDescent="0.25">
      <c r="A26" s="33" t="s">
        <v>123</v>
      </c>
      <c r="B26" s="10"/>
      <c r="C26" s="10"/>
      <c r="D26" s="21">
        <f>D25*D16</f>
        <v>174.37700000000001</v>
      </c>
      <c r="E26" t="s">
        <v>343</v>
      </c>
    </row>
    <row r="28" spans="1:5" x14ac:dyDescent="0.25">
      <c r="A28" s="21" t="s">
        <v>129</v>
      </c>
      <c r="B28" s="10"/>
      <c r="C28" s="10"/>
      <c r="D28" s="10"/>
      <c r="E28" t="s">
        <v>429</v>
      </c>
    </row>
    <row r="29" spans="1:5" x14ac:dyDescent="0.25">
      <c r="A29" s="33" t="s">
        <v>130</v>
      </c>
      <c r="B29" s="10"/>
      <c r="C29" s="10"/>
      <c r="D29" s="10">
        <v>12</v>
      </c>
    </row>
    <row r="30" spans="1:5" x14ac:dyDescent="0.25">
      <c r="A30" s="33" t="s">
        <v>131</v>
      </c>
      <c r="B30" s="10"/>
      <c r="C30" s="10"/>
      <c r="D30" s="21">
        <f>D29*D14</f>
        <v>538.06799999999998</v>
      </c>
      <c r="E30" t="s">
        <v>344</v>
      </c>
    </row>
    <row r="34" spans="1:6" x14ac:dyDescent="0.25">
      <c r="A34" s="20"/>
    </row>
    <row r="37" spans="1:6" ht="15.75" x14ac:dyDescent="0.25">
      <c r="E37" s="22"/>
    </row>
    <row r="38" spans="1:6" ht="15.75" x14ac:dyDescent="0.25">
      <c r="A38" s="4" t="s">
        <v>66</v>
      </c>
      <c r="B38" s="1"/>
      <c r="C38" s="3">
        <f>ROUND(((D22+D26+D30)/(72*10.885))/2,3)</f>
        <v>0.97</v>
      </c>
      <c r="F38" s="22"/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CFEE-9D82-4B69-9646-0E8B67F6416C}">
  <sheetPr codeName="List34">
    <tabColor rgb="FFBD92DE"/>
  </sheetPr>
  <dimension ref="A14:M48"/>
  <sheetViews>
    <sheetView showRuler="0" topLeftCell="A10" zoomScaleNormal="100" workbookViewId="0">
      <selection activeCell="D41" activeCellId="3" sqref="D30 D33 D37 D41"/>
    </sheetView>
  </sheetViews>
  <sheetFormatPr defaultRowHeight="15" x14ac:dyDescent="0.25"/>
  <cols>
    <col min="3" max="3" width="9.28515625" customWidth="1"/>
    <col min="4" max="4" width="8.28515625" customWidth="1"/>
    <col min="5" max="5" width="10.140625" customWidth="1"/>
    <col min="13" max="13" width="9.7109375" customWidth="1"/>
  </cols>
  <sheetData>
    <row r="14" spans="1:6" x14ac:dyDescent="0.25">
      <c r="A14" t="s">
        <v>113</v>
      </c>
      <c r="D14">
        <v>44.838999999999999</v>
      </c>
      <c r="E14" t="s">
        <v>464</v>
      </c>
    </row>
    <row r="15" spans="1:6" x14ac:dyDescent="0.25">
      <c r="A15" t="s">
        <v>132</v>
      </c>
      <c r="D15">
        <f>ROUND(D14/7,3)</f>
        <v>6.4059999999999997</v>
      </c>
      <c r="E15" t="s">
        <v>238</v>
      </c>
      <c r="F15" t="s">
        <v>215</v>
      </c>
    </row>
    <row r="16" spans="1:6" x14ac:dyDescent="0.25">
      <c r="A16" t="s">
        <v>134</v>
      </c>
      <c r="D16" s="1">
        <v>3.48</v>
      </c>
      <c r="E16" t="s">
        <v>465</v>
      </c>
    </row>
    <row r="17" spans="1:5" x14ac:dyDescent="0.25">
      <c r="A17" s="26" t="s">
        <v>135</v>
      </c>
      <c r="B17" s="1"/>
      <c r="D17" s="1">
        <v>1.3</v>
      </c>
    </row>
    <row r="19" spans="1:5" x14ac:dyDescent="0.25">
      <c r="A19" s="23" t="s">
        <v>136</v>
      </c>
      <c r="B19" s="14"/>
      <c r="C19" s="14"/>
      <c r="D19" s="15"/>
      <c r="E19" t="s">
        <v>393</v>
      </c>
    </row>
    <row r="20" spans="1:5" x14ac:dyDescent="0.25">
      <c r="A20" s="34" t="s">
        <v>117</v>
      </c>
      <c r="B20" s="14"/>
      <c r="C20" s="15"/>
      <c r="D20" s="14">
        <v>40</v>
      </c>
      <c r="E20" t="s">
        <v>394</v>
      </c>
    </row>
    <row r="21" spans="1:5" x14ac:dyDescent="0.25">
      <c r="A21" s="34" t="s">
        <v>137</v>
      </c>
      <c r="B21" s="14"/>
      <c r="C21" s="23"/>
      <c r="D21" s="24">
        <f>ROUND(D20/D17,3)</f>
        <v>30.768999999999998</v>
      </c>
      <c r="E21" t="s">
        <v>138</v>
      </c>
    </row>
    <row r="23" spans="1:5" x14ac:dyDescent="0.25">
      <c r="A23" s="23" t="s">
        <v>139</v>
      </c>
      <c r="B23" s="14"/>
      <c r="C23" s="14"/>
      <c r="D23" s="15"/>
      <c r="E23" t="s">
        <v>395</v>
      </c>
    </row>
    <row r="24" spans="1:5" x14ac:dyDescent="0.25">
      <c r="A24" s="34" t="s">
        <v>117</v>
      </c>
      <c r="B24" s="14"/>
      <c r="C24" s="15"/>
      <c r="D24" s="14">
        <v>16</v>
      </c>
      <c r="E24" t="s">
        <v>396</v>
      </c>
    </row>
    <row r="25" spans="1:5" x14ac:dyDescent="0.25">
      <c r="A25" s="34" t="s">
        <v>118</v>
      </c>
      <c r="B25" s="15"/>
      <c r="C25" s="15"/>
      <c r="D25" s="15">
        <f>D24*D16*D15</f>
        <v>356.68608</v>
      </c>
      <c r="E25" t="s">
        <v>378</v>
      </c>
    </row>
    <row r="26" spans="1:5" x14ac:dyDescent="0.25">
      <c r="A26" s="34" t="s">
        <v>137</v>
      </c>
      <c r="B26" s="14"/>
      <c r="C26" s="23"/>
      <c r="D26" s="24">
        <f>ROUND(D25/D17,3)</f>
        <v>274.37400000000002</v>
      </c>
      <c r="E26" t="s">
        <v>381</v>
      </c>
    </row>
    <row r="28" spans="1:5" x14ac:dyDescent="0.25">
      <c r="A28" s="21" t="s">
        <v>141</v>
      </c>
      <c r="B28" s="10"/>
      <c r="C28" s="10"/>
      <c r="D28" s="10"/>
    </row>
    <row r="29" spans="1:5" x14ac:dyDescent="0.25">
      <c r="A29" s="33" t="s">
        <v>142</v>
      </c>
      <c r="B29" s="10"/>
      <c r="C29" s="10"/>
      <c r="D29" s="10">
        <v>55</v>
      </c>
    </row>
    <row r="30" spans="1:5" x14ac:dyDescent="0.25">
      <c r="A30" s="33" t="s">
        <v>143</v>
      </c>
      <c r="B30" s="10"/>
      <c r="C30" s="10"/>
      <c r="D30" s="21">
        <f>D29*D15</f>
        <v>352.33</v>
      </c>
      <c r="E30" t="s">
        <v>345</v>
      </c>
    </row>
    <row r="32" spans="1:5" x14ac:dyDescent="0.25">
      <c r="A32" s="21" t="s">
        <v>144</v>
      </c>
      <c r="B32" s="10"/>
      <c r="C32" s="10"/>
      <c r="D32" s="10"/>
      <c r="E32" t="s">
        <v>397</v>
      </c>
    </row>
    <row r="33" spans="1:13" x14ac:dyDescent="0.25">
      <c r="A33" s="33" t="s">
        <v>145</v>
      </c>
      <c r="B33" s="10"/>
      <c r="C33" s="10"/>
      <c r="D33" s="21">
        <v>90</v>
      </c>
    </row>
    <row r="34" spans="1:13" ht="15.75" x14ac:dyDescent="0.25">
      <c r="F34" s="22"/>
    </row>
    <row r="35" spans="1:13" x14ac:dyDescent="0.25">
      <c r="A35" s="21" t="s">
        <v>146</v>
      </c>
      <c r="B35" s="10"/>
      <c r="C35" s="10"/>
      <c r="D35" s="10"/>
      <c r="E35" t="s">
        <v>398</v>
      </c>
    </row>
    <row r="36" spans="1:13" x14ac:dyDescent="0.25">
      <c r="A36" s="33" t="s">
        <v>147</v>
      </c>
      <c r="B36" s="10"/>
      <c r="C36" s="10"/>
      <c r="D36" s="10">
        <v>4</v>
      </c>
    </row>
    <row r="37" spans="1:13" x14ac:dyDescent="0.25">
      <c r="A37" s="33" t="s">
        <v>148</v>
      </c>
      <c r="B37" s="10"/>
      <c r="C37" s="10"/>
      <c r="D37" s="21">
        <f>D36*D16*D15</f>
        <v>89.171520000000001</v>
      </c>
      <c r="E37" t="s">
        <v>379</v>
      </c>
    </row>
    <row r="39" spans="1:13" x14ac:dyDescent="0.25">
      <c r="A39" s="21" t="s">
        <v>149</v>
      </c>
      <c r="B39" s="10"/>
      <c r="C39" s="10"/>
      <c r="D39" s="10"/>
      <c r="E39" t="s">
        <v>399</v>
      </c>
    </row>
    <row r="40" spans="1:13" x14ac:dyDescent="0.25">
      <c r="A40" s="33" t="s">
        <v>150</v>
      </c>
      <c r="B40" s="10"/>
      <c r="C40" s="10"/>
      <c r="D40" s="10">
        <v>17</v>
      </c>
    </row>
    <row r="41" spans="1:13" x14ac:dyDescent="0.25">
      <c r="A41" s="33" t="s">
        <v>148</v>
      </c>
      <c r="B41" s="10"/>
      <c r="C41" s="10"/>
      <c r="D41" s="21">
        <f>ROUND(D40*D16*D15,3)</f>
        <v>378.97899999999998</v>
      </c>
      <c r="E41" t="s">
        <v>380</v>
      </c>
    </row>
    <row r="44" spans="1:13" x14ac:dyDescent="0.25">
      <c r="M44" s="42"/>
    </row>
    <row r="48" spans="1:13" ht="15.75" x14ac:dyDescent="0.25">
      <c r="A48" s="4" t="s">
        <v>66</v>
      </c>
      <c r="B48" s="1"/>
      <c r="C48" s="3">
        <f>ROUND(((D21+D26+D30+D33+D37+D41)/(72*10.885))/2,3)</f>
        <v>0.77600000000000002</v>
      </c>
    </row>
  </sheetData>
  <pageMargins left="0.19685039370078741" right="0.19685039370078741" top="0.19685039370078741" bottom="0.19685039370078741" header="0" footer="0"/>
  <pageSetup paperSize="9" scale="99" orientation="portrait" r:id="rId1"/>
  <headerFooter>
    <oddHeader>&amp;C&amp;"MS UI Gothic"&amp;10&amp;K000000•• PROTECTED 関係者外秘&amp;1#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19C49-C4F7-441B-85DE-EE718BBE3DEA}">
  <sheetPr codeName="List35">
    <tabColor rgb="FFBD92DE"/>
  </sheetPr>
  <dimension ref="A14:E48"/>
  <sheetViews>
    <sheetView showRuler="0" topLeftCell="A4" zoomScaleNormal="100" workbookViewId="0">
      <selection activeCell="D36" activeCellId="1" sqref="D32 D36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5" x14ac:dyDescent="0.25">
      <c r="A14" s="26"/>
      <c r="B14" s="1"/>
      <c r="D14" s="1"/>
    </row>
    <row r="15" spans="1:5" x14ac:dyDescent="0.25">
      <c r="A15" t="s">
        <v>151</v>
      </c>
      <c r="D15">
        <v>60.103999999999999</v>
      </c>
      <c r="E15" s="25" t="s">
        <v>475</v>
      </c>
    </row>
    <row r="16" spans="1:5" x14ac:dyDescent="0.25">
      <c r="A16" t="s">
        <v>153</v>
      </c>
      <c r="D16">
        <v>6.758</v>
      </c>
      <c r="E16" t="s">
        <v>239</v>
      </c>
    </row>
    <row r="17" spans="1:5" x14ac:dyDescent="0.25">
      <c r="A17" t="s">
        <v>155</v>
      </c>
      <c r="D17">
        <v>1.3</v>
      </c>
      <c r="E17" t="s">
        <v>402</v>
      </c>
    </row>
    <row r="18" spans="1:5" x14ac:dyDescent="0.25">
      <c r="A18" s="26" t="s">
        <v>156</v>
      </c>
      <c r="B18" s="1"/>
      <c r="D18" s="1">
        <v>1.67</v>
      </c>
    </row>
    <row r="19" spans="1:5" x14ac:dyDescent="0.25">
      <c r="A19" s="26" t="s">
        <v>135</v>
      </c>
      <c r="B19" s="1"/>
      <c r="D19" s="1">
        <v>1.3</v>
      </c>
    </row>
    <row r="21" spans="1:5" x14ac:dyDescent="0.25">
      <c r="A21" s="11" t="s">
        <v>18</v>
      </c>
      <c r="B21" s="12"/>
      <c r="C21" s="12"/>
      <c r="D21" s="18"/>
    </row>
    <row r="22" spans="1:5" x14ac:dyDescent="0.25">
      <c r="A22" s="32" t="s">
        <v>117</v>
      </c>
      <c r="B22" s="12"/>
      <c r="C22" s="18"/>
      <c r="D22" s="12">
        <v>1180</v>
      </c>
    </row>
    <row r="23" spans="1:5" x14ac:dyDescent="0.25">
      <c r="A23" s="32" t="s">
        <v>119</v>
      </c>
      <c r="B23" s="12"/>
      <c r="C23" s="11"/>
      <c r="D23" s="19">
        <f>ROUND(D22/D18,3)</f>
        <v>706.58699999999999</v>
      </c>
      <c r="E23" t="s">
        <v>172</v>
      </c>
    </row>
    <row r="25" spans="1:5" x14ac:dyDescent="0.25">
      <c r="A25" s="23" t="s">
        <v>162</v>
      </c>
      <c r="B25" s="14"/>
      <c r="C25" s="14"/>
      <c r="D25" s="15"/>
      <c r="E25" t="s">
        <v>412</v>
      </c>
    </row>
    <row r="26" spans="1:5" x14ac:dyDescent="0.25">
      <c r="A26" s="34" t="s">
        <v>159</v>
      </c>
      <c r="B26" s="14"/>
      <c r="C26" s="15"/>
      <c r="D26" s="14">
        <f>ROUND(D16*D17,3)</f>
        <v>8.7850000000000001</v>
      </c>
      <c r="E26" t="s">
        <v>346</v>
      </c>
    </row>
    <row r="27" spans="1:5" x14ac:dyDescent="0.25">
      <c r="A27" s="15" t="s">
        <v>160</v>
      </c>
      <c r="B27" s="15"/>
      <c r="C27" s="15"/>
      <c r="D27" s="15">
        <f>ROUND(D16*1.8*D26,3)</f>
        <v>106.864</v>
      </c>
      <c r="E27" t="s">
        <v>466</v>
      </c>
    </row>
    <row r="28" spans="1:5" x14ac:dyDescent="0.25">
      <c r="A28" s="34" t="s">
        <v>137</v>
      </c>
      <c r="B28" s="14"/>
      <c r="C28" s="23"/>
      <c r="D28" s="24">
        <f>ROUND(D27/D19,3)</f>
        <v>82.203000000000003</v>
      </c>
      <c r="E28" t="s">
        <v>240</v>
      </c>
    </row>
    <row r="30" spans="1:5" x14ac:dyDescent="0.25">
      <c r="A30" s="21" t="s">
        <v>164</v>
      </c>
      <c r="B30" s="10"/>
      <c r="C30" s="10"/>
      <c r="D30" s="10"/>
      <c r="E30" t="s">
        <v>406</v>
      </c>
    </row>
    <row r="31" spans="1:5" x14ac:dyDescent="0.25">
      <c r="A31" s="33" t="s">
        <v>165</v>
      </c>
      <c r="B31" s="10"/>
      <c r="C31" s="10"/>
      <c r="D31" s="10">
        <v>9</v>
      </c>
      <c r="E31" t="s">
        <v>407</v>
      </c>
    </row>
    <row r="32" spans="1:5" x14ac:dyDescent="0.25">
      <c r="A32" s="33" t="s">
        <v>166</v>
      </c>
      <c r="B32" s="10"/>
      <c r="C32" s="10"/>
      <c r="D32" s="21">
        <f>D31*D15</f>
        <v>540.93600000000004</v>
      </c>
      <c r="E32" t="s">
        <v>347</v>
      </c>
    </row>
    <row r="34" spans="1:5" x14ac:dyDescent="0.25">
      <c r="A34" s="21" t="s">
        <v>167</v>
      </c>
      <c r="B34" s="10"/>
      <c r="C34" s="10"/>
      <c r="D34" s="10"/>
      <c r="E34" t="s">
        <v>409</v>
      </c>
    </row>
    <row r="35" spans="1:5" x14ac:dyDescent="0.25">
      <c r="A35" s="33" t="s">
        <v>168</v>
      </c>
      <c r="B35" s="10"/>
      <c r="C35" s="10"/>
      <c r="D35" s="10">
        <v>6</v>
      </c>
      <c r="E35" t="s">
        <v>108</v>
      </c>
    </row>
    <row r="36" spans="1:5" x14ac:dyDescent="0.25">
      <c r="A36" s="33" t="s">
        <v>169</v>
      </c>
      <c r="B36" s="10"/>
      <c r="C36" s="10"/>
      <c r="D36" s="21">
        <f>D35*D16</f>
        <v>40.548000000000002</v>
      </c>
      <c r="E36" t="s">
        <v>467</v>
      </c>
    </row>
    <row r="48" spans="1:5" ht="15.75" x14ac:dyDescent="0.25">
      <c r="A48" s="4" t="s">
        <v>66</v>
      </c>
      <c r="B48" s="1"/>
      <c r="C48" s="3">
        <f>ROUND(((D23+D28+D32+D36)/(72*21.771)),3)</f>
        <v>0.874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FBEA-B7A8-40E8-A7B1-947BE8483BBC}">
  <sheetPr codeName="List36">
    <tabColor rgb="FFBD92DE"/>
  </sheetPr>
  <dimension ref="A14:F48"/>
  <sheetViews>
    <sheetView workbookViewId="0">
      <selection activeCell="D34" activeCellId="2" sqref="D26 D30 D34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11.021000000000001</v>
      </c>
      <c r="E14" s="25" t="s">
        <v>468</v>
      </c>
    </row>
    <row r="15" spans="1:5" x14ac:dyDescent="0.25">
      <c r="A15" t="s">
        <v>114</v>
      </c>
      <c r="D15">
        <v>1.5</v>
      </c>
      <c r="E15" t="s">
        <v>430</v>
      </c>
    </row>
    <row r="16" spans="1:5" x14ac:dyDescent="0.25">
      <c r="A16" t="s">
        <v>88</v>
      </c>
      <c r="D16">
        <f>ROUND(D14/D15,3)</f>
        <v>7.3470000000000004</v>
      </c>
      <c r="E16" t="s">
        <v>241</v>
      </c>
    </row>
    <row r="17" spans="1:5" x14ac:dyDescent="0.25">
      <c r="A17" t="s">
        <v>116</v>
      </c>
      <c r="D17">
        <v>1.85</v>
      </c>
    </row>
    <row r="19" spans="1:5" x14ac:dyDescent="0.25">
      <c r="A19" s="11" t="s">
        <v>18</v>
      </c>
      <c r="B19" s="12"/>
      <c r="C19" s="12"/>
      <c r="D19" s="18"/>
    </row>
    <row r="20" spans="1:5" x14ac:dyDescent="0.25">
      <c r="A20" s="32" t="s">
        <v>117</v>
      </c>
      <c r="B20" s="12"/>
      <c r="C20" s="18"/>
      <c r="D20" s="12">
        <v>35</v>
      </c>
      <c r="E20" t="s">
        <v>387</v>
      </c>
    </row>
    <row r="21" spans="1:5" x14ac:dyDescent="0.25">
      <c r="A21" s="32" t="s">
        <v>118</v>
      </c>
      <c r="B21" s="12"/>
      <c r="C21" s="18"/>
      <c r="D21" s="12">
        <f>70*D16</f>
        <v>514.29000000000008</v>
      </c>
      <c r="E21" t="s">
        <v>348</v>
      </c>
    </row>
    <row r="22" spans="1:5" x14ac:dyDescent="0.25">
      <c r="A22" s="32" t="s">
        <v>119</v>
      </c>
      <c r="B22" s="12"/>
      <c r="C22" s="11"/>
      <c r="D22" s="19">
        <f>ROUND(D21/D17,3)</f>
        <v>277.995</v>
      </c>
      <c r="E22" t="s">
        <v>242</v>
      </c>
    </row>
    <row r="24" spans="1:5" x14ac:dyDescent="0.25">
      <c r="A24" s="21" t="s">
        <v>178</v>
      </c>
      <c r="B24" s="10"/>
      <c r="C24" s="10"/>
      <c r="D24" s="10"/>
      <c r="E24" t="s">
        <v>415</v>
      </c>
    </row>
    <row r="25" spans="1:5" x14ac:dyDescent="0.25">
      <c r="A25" s="33" t="s">
        <v>122</v>
      </c>
      <c r="B25" s="10"/>
      <c r="C25" s="10"/>
      <c r="D25" s="10">
        <v>10</v>
      </c>
    </row>
    <row r="26" spans="1:5" x14ac:dyDescent="0.25">
      <c r="A26" s="33" t="s">
        <v>123</v>
      </c>
      <c r="B26" s="10"/>
      <c r="C26" s="10"/>
      <c r="D26" s="21">
        <f>D25*D16</f>
        <v>73.47</v>
      </c>
      <c r="E26" t="s">
        <v>349</v>
      </c>
    </row>
    <row r="28" spans="1:5" x14ac:dyDescent="0.25">
      <c r="A28" s="21" t="s">
        <v>179</v>
      </c>
      <c r="B28" s="10"/>
      <c r="C28" s="10"/>
      <c r="D28" s="10"/>
      <c r="E28" t="s">
        <v>416</v>
      </c>
    </row>
    <row r="29" spans="1:5" x14ac:dyDescent="0.25">
      <c r="A29" s="33" t="s">
        <v>125</v>
      </c>
      <c r="B29" s="10"/>
      <c r="C29" s="10"/>
      <c r="D29" s="10">
        <v>15</v>
      </c>
    </row>
    <row r="30" spans="1:5" x14ac:dyDescent="0.25">
      <c r="A30" s="33" t="s">
        <v>126</v>
      </c>
      <c r="B30" s="10"/>
      <c r="C30" s="10"/>
      <c r="D30" s="21">
        <f>D29*D14</f>
        <v>165.315</v>
      </c>
      <c r="E30" t="s">
        <v>350</v>
      </c>
    </row>
    <row r="32" spans="1:5" x14ac:dyDescent="0.25">
      <c r="A32" s="21" t="s">
        <v>180</v>
      </c>
      <c r="B32" s="10"/>
      <c r="C32" s="10"/>
      <c r="D32" s="10"/>
      <c r="E32" t="s">
        <v>417</v>
      </c>
    </row>
    <row r="33" spans="1:6" x14ac:dyDescent="0.25">
      <c r="A33" s="33" t="s">
        <v>181</v>
      </c>
      <c r="B33" s="10"/>
      <c r="C33" s="10"/>
      <c r="D33" s="10">
        <v>2</v>
      </c>
    </row>
    <row r="34" spans="1:6" x14ac:dyDescent="0.25">
      <c r="A34" s="33" t="s">
        <v>182</v>
      </c>
      <c r="B34" s="10"/>
      <c r="C34" s="10"/>
      <c r="D34" s="21">
        <f>D33*D14*2</f>
        <v>44.084000000000003</v>
      </c>
      <c r="E34" t="s">
        <v>351</v>
      </c>
    </row>
    <row r="37" spans="1:6" ht="15.75" x14ac:dyDescent="0.25">
      <c r="E37" s="22"/>
    </row>
    <row r="38" spans="1:6" ht="15.75" x14ac:dyDescent="0.25">
      <c r="F38" s="22"/>
    </row>
    <row r="48" spans="1:6" ht="15.75" x14ac:dyDescent="0.25">
      <c r="A48" s="4" t="s">
        <v>66</v>
      </c>
      <c r="B48" s="1"/>
      <c r="C48" s="3">
        <f>ROUND(((D22+D26+D30+D34)/(72*10.885)),3)</f>
        <v>0.71599999999999997</v>
      </c>
    </row>
  </sheetData>
  <pageMargins left="0.19685039370078741" right="0.19685039370078741" top="0.19685039370078741" bottom="0.19685039370078741" header="0" footer="0"/>
  <pageSetup paperSize="9" scale="75" orientation="portrait" r:id="rId1"/>
  <headerFooter>
    <oddHeader>&amp;C&amp;"MS UI Gothic"&amp;10&amp;K000000•• PROTECTED 関係者外秘&amp;1#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780C5-884E-4A0C-9F9C-C423C2C8B507}">
  <sheetPr codeName="List37">
    <tabColor rgb="FFBD92DE"/>
  </sheetPr>
  <dimension ref="A14:F48"/>
  <sheetViews>
    <sheetView showRuler="0" topLeftCell="A13" zoomScaleNormal="100" workbookViewId="0">
      <selection activeCell="D41" activeCellId="3" sqref="D29 D33 D37 D41"/>
    </sheetView>
  </sheetViews>
  <sheetFormatPr defaultRowHeight="15" x14ac:dyDescent="0.25"/>
  <cols>
    <col min="3" max="3" width="8.5703125" customWidth="1"/>
    <col min="5" max="5" width="9.28515625" customWidth="1"/>
  </cols>
  <sheetData>
    <row r="14" spans="1:5" x14ac:dyDescent="0.25">
      <c r="A14" t="s">
        <v>113</v>
      </c>
      <c r="D14">
        <v>7.6879999999999997</v>
      </c>
      <c r="E14" s="25" t="s">
        <v>469</v>
      </c>
    </row>
    <row r="15" spans="1:5" x14ac:dyDescent="0.25">
      <c r="A15" t="s">
        <v>116</v>
      </c>
      <c r="D15">
        <v>1.85</v>
      </c>
    </row>
    <row r="17" spans="1:5" x14ac:dyDescent="0.25">
      <c r="A17" s="11" t="s">
        <v>183</v>
      </c>
      <c r="B17" s="12"/>
      <c r="C17" s="12"/>
      <c r="D17" s="18"/>
      <c r="E17" t="s">
        <v>418</v>
      </c>
    </row>
    <row r="18" spans="1:5" x14ac:dyDescent="0.25">
      <c r="A18" s="32" t="s">
        <v>117</v>
      </c>
      <c r="B18" s="12"/>
      <c r="C18" s="18"/>
      <c r="D18" s="12">
        <v>30</v>
      </c>
      <c r="E18" t="s">
        <v>390</v>
      </c>
    </row>
    <row r="19" spans="1:5" x14ac:dyDescent="0.25">
      <c r="A19" s="32" t="s">
        <v>118</v>
      </c>
      <c r="B19" s="12"/>
      <c r="C19" s="18"/>
      <c r="D19" s="12">
        <f>60*D14</f>
        <v>461.28</v>
      </c>
      <c r="E19" t="s">
        <v>352</v>
      </c>
    </row>
    <row r="20" spans="1:5" x14ac:dyDescent="0.25">
      <c r="A20" s="32" t="s">
        <v>119</v>
      </c>
      <c r="B20" s="12"/>
      <c r="C20" s="11"/>
      <c r="D20" s="19">
        <f>ROUND(D19/D15,3)</f>
        <v>249.34100000000001</v>
      </c>
      <c r="E20" t="s">
        <v>243</v>
      </c>
    </row>
    <row r="22" spans="1:5" x14ac:dyDescent="0.25">
      <c r="A22" s="11" t="s">
        <v>185</v>
      </c>
      <c r="B22" s="12"/>
      <c r="C22" s="12"/>
      <c r="D22" s="18"/>
      <c r="E22" t="s">
        <v>419</v>
      </c>
    </row>
    <row r="23" spans="1:5" x14ac:dyDescent="0.25">
      <c r="A23" s="32" t="s">
        <v>117</v>
      </c>
      <c r="B23" s="12"/>
      <c r="C23" s="18"/>
      <c r="D23" s="12">
        <v>30</v>
      </c>
      <c r="E23" t="s">
        <v>390</v>
      </c>
    </row>
    <row r="24" spans="1:5" x14ac:dyDescent="0.25">
      <c r="A24" s="32" t="s">
        <v>118</v>
      </c>
      <c r="B24" s="12"/>
      <c r="C24" s="18"/>
      <c r="D24" s="12">
        <f>60*(D14/2)</f>
        <v>230.64</v>
      </c>
      <c r="E24" t="s">
        <v>353</v>
      </c>
    </row>
    <row r="25" spans="1:5" x14ac:dyDescent="0.25">
      <c r="A25" s="32" t="s">
        <v>119</v>
      </c>
      <c r="B25" s="12"/>
      <c r="C25" s="11"/>
      <c r="D25" s="19">
        <f>ROUND(D24/D15,3)</f>
        <v>124.67</v>
      </c>
      <c r="E25" t="s">
        <v>244</v>
      </c>
    </row>
    <row r="27" spans="1:5" x14ac:dyDescent="0.25">
      <c r="A27" s="21" t="s">
        <v>187</v>
      </c>
      <c r="B27" s="10"/>
      <c r="C27" s="10"/>
      <c r="D27" s="10"/>
    </row>
    <row r="28" spans="1:5" x14ac:dyDescent="0.25">
      <c r="A28" s="33" t="s">
        <v>122</v>
      </c>
      <c r="B28" s="10"/>
      <c r="C28" s="10"/>
      <c r="D28" s="10">
        <v>10</v>
      </c>
    </row>
    <row r="29" spans="1:5" x14ac:dyDescent="0.25">
      <c r="A29" s="33" t="s">
        <v>123</v>
      </c>
      <c r="B29" s="10"/>
      <c r="C29" s="10"/>
      <c r="D29" s="21">
        <f>D28*D14</f>
        <v>76.88</v>
      </c>
      <c r="E29" t="s">
        <v>354</v>
      </c>
    </row>
    <row r="31" spans="1:5" x14ac:dyDescent="0.25">
      <c r="A31" s="21" t="s">
        <v>188</v>
      </c>
      <c r="B31" s="10"/>
      <c r="C31" s="10"/>
      <c r="D31" s="10"/>
    </row>
    <row r="32" spans="1:5" x14ac:dyDescent="0.25">
      <c r="A32" s="33" t="s">
        <v>125</v>
      </c>
      <c r="B32" s="10"/>
      <c r="C32" s="10"/>
      <c r="D32" s="10">
        <v>10</v>
      </c>
    </row>
    <row r="33" spans="1:6" x14ac:dyDescent="0.25">
      <c r="A33" s="33" t="s">
        <v>126</v>
      </c>
      <c r="B33" s="10"/>
      <c r="C33" s="10"/>
      <c r="D33" s="21">
        <f>D32*D14</f>
        <v>76.88</v>
      </c>
      <c r="E33" t="s">
        <v>354</v>
      </c>
    </row>
    <row r="35" spans="1:6" x14ac:dyDescent="0.25">
      <c r="A35" s="21" t="s">
        <v>189</v>
      </c>
      <c r="B35" s="10"/>
      <c r="C35" s="10"/>
      <c r="D35" s="10"/>
    </row>
    <row r="36" spans="1:6" x14ac:dyDescent="0.25">
      <c r="A36" s="33" t="s">
        <v>125</v>
      </c>
      <c r="B36" s="10"/>
      <c r="C36" s="10"/>
      <c r="D36" s="10">
        <v>10</v>
      </c>
    </row>
    <row r="37" spans="1:6" x14ac:dyDescent="0.25">
      <c r="A37" s="33" t="s">
        <v>126</v>
      </c>
      <c r="B37" s="10"/>
      <c r="C37" s="10"/>
      <c r="D37" s="21">
        <f>D36*D14</f>
        <v>76.88</v>
      </c>
      <c r="E37" t="s">
        <v>354</v>
      </c>
    </row>
    <row r="38" spans="1:6" ht="15.75" x14ac:dyDescent="0.25">
      <c r="F38" s="22"/>
    </row>
    <row r="39" spans="1:6" x14ac:dyDescent="0.25">
      <c r="A39" s="21" t="s">
        <v>180</v>
      </c>
      <c r="B39" s="10"/>
      <c r="C39" s="10"/>
      <c r="D39" s="10"/>
      <c r="E39" t="s">
        <v>417</v>
      </c>
    </row>
    <row r="40" spans="1:6" x14ac:dyDescent="0.25">
      <c r="A40" s="33" t="s">
        <v>181</v>
      </c>
      <c r="B40" s="10"/>
      <c r="C40" s="10"/>
      <c r="D40" s="10">
        <v>2</v>
      </c>
    </row>
    <row r="41" spans="1:6" x14ac:dyDescent="0.25">
      <c r="A41" s="33" t="s">
        <v>182</v>
      </c>
      <c r="B41" s="10"/>
      <c r="C41" s="10"/>
      <c r="D41" s="21">
        <f>D40*D14*2</f>
        <v>30.751999999999999</v>
      </c>
      <c r="E41" t="s">
        <v>355</v>
      </c>
    </row>
    <row r="48" spans="1:6" ht="15.75" x14ac:dyDescent="0.25">
      <c r="A48" s="4" t="s">
        <v>66</v>
      </c>
      <c r="B48" s="1"/>
      <c r="C48" s="3">
        <f>ROUND(((D20+D25+D29+D33+D37+D41)/(72*10.885)),3)</f>
        <v>0.81100000000000005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ACADF-2FAF-44C2-92BF-94D41F37EAE1}">
  <sheetPr codeName="List38">
    <tabColor rgb="FFBD92DE"/>
  </sheetPr>
  <dimension ref="A16:F53"/>
  <sheetViews>
    <sheetView showRuler="0" topLeftCell="A28" zoomScaleNormal="100" workbookViewId="0">
      <selection activeCell="D50" activeCellId="4" sqref="D35 D38 D42 D46 D50"/>
    </sheetView>
  </sheetViews>
  <sheetFormatPr defaultRowHeight="15" x14ac:dyDescent="0.25"/>
  <cols>
    <col min="3" max="3" width="9.7109375" customWidth="1"/>
    <col min="4" max="4" width="9.140625" customWidth="1"/>
    <col min="5" max="5" width="9.28515625" customWidth="1"/>
  </cols>
  <sheetData>
    <row r="16" spans="1:5" x14ac:dyDescent="0.25">
      <c r="A16" t="s">
        <v>113</v>
      </c>
      <c r="D16">
        <v>5.2009999999999996</v>
      </c>
      <c r="E16" s="25" t="s">
        <v>470</v>
      </c>
    </row>
    <row r="17" spans="1:5" x14ac:dyDescent="0.25">
      <c r="A17" s="26" t="s">
        <v>156</v>
      </c>
      <c r="B17" s="1"/>
      <c r="D17" s="1">
        <v>1.67</v>
      </c>
    </row>
    <row r="18" spans="1:5" x14ac:dyDescent="0.25">
      <c r="A18" s="26" t="s">
        <v>135</v>
      </c>
      <c r="B18" s="1"/>
      <c r="D18" s="1">
        <v>1.3</v>
      </c>
    </row>
    <row r="20" spans="1:5" x14ac:dyDescent="0.25">
      <c r="A20" s="11" t="s">
        <v>190</v>
      </c>
      <c r="B20" s="12"/>
      <c r="C20" s="12"/>
      <c r="D20" s="18"/>
    </row>
    <row r="21" spans="1:5" x14ac:dyDescent="0.25">
      <c r="A21" s="32" t="s">
        <v>117</v>
      </c>
      <c r="B21" s="12"/>
      <c r="C21" s="18"/>
      <c r="D21" s="12">
        <v>825</v>
      </c>
    </row>
    <row r="22" spans="1:5" x14ac:dyDescent="0.25">
      <c r="A22" s="32" t="s">
        <v>119</v>
      </c>
      <c r="B22" s="12"/>
      <c r="C22" s="11"/>
      <c r="D22" s="19">
        <f>ROUND(D21/D17,3)</f>
        <v>494.012</v>
      </c>
      <c r="E22" t="s">
        <v>191</v>
      </c>
    </row>
    <row r="24" spans="1:5" x14ac:dyDescent="0.25">
      <c r="A24" s="23" t="s">
        <v>192</v>
      </c>
      <c r="B24" s="14"/>
      <c r="C24" s="14"/>
      <c r="D24" s="15"/>
      <c r="E24" t="s">
        <v>421</v>
      </c>
    </row>
    <row r="25" spans="1:5" x14ac:dyDescent="0.25">
      <c r="A25" s="34" t="s">
        <v>117</v>
      </c>
      <c r="B25" s="14"/>
      <c r="C25" s="15"/>
      <c r="D25" s="14">
        <v>32</v>
      </c>
    </row>
    <row r="26" spans="1:5" x14ac:dyDescent="0.25">
      <c r="A26" s="34" t="s">
        <v>119</v>
      </c>
      <c r="B26" s="14"/>
      <c r="C26" s="23"/>
      <c r="D26" s="24">
        <f>ROUND(D25/D18,3)</f>
        <v>24.614999999999998</v>
      </c>
      <c r="E26" t="s">
        <v>193</v>
      </c>
    </row>
    <row r="28" spans="1:5" x14ac:dyDescent="0.25">
      <c r="A28" s="23" t="s">
        <v>194</v>
      </c>
      <c r="B28" s="14"/>
      <c r="C28" s="14"/>
      <c r="D28" s="15"/>
      <c r="E28" t="s">
        <v>422</v>
      </c>
    </row>
    <row r="29" spans="1:5" x14ac:dyDescent="0.25">
      <c r="A29" s="34" t="s">
        <v>117</v>
      </c>
      <c r="B29" s="14"/>
      <c r="C29" s="15"/>
      <c r="D29" s="14">
        <v>81</v>
      </c>
    </row>
    <row r="30" spans="1:5" x14ac:dyDescent="0.25">
      <c r="A30" s="34" t="s">
        <v>119</v>
      </c>
      <c r="B30" s="14"/>
      <c r="C30" s="23"/>
      <c r="D30" s="24">
        <f>ROUND(D29/D18,3)</f>
        <v>62.308</v>
      </c>
      <c r="E30" t="s">
        <v>195</v>
      </c>
    </row>
    <row r="32" spans="1:5" x14ac:dyDescent="0.25">
      <c r="A32" s="21" t="s">
        <v>196</v>
      </c>
      <c r="B32" s="10"/>
      <c r="C32" s="10"/>
      <c r="D32" s="10"/>
      <c r="E32" t="s">
        <v>471</v>
      </c>
    </row>
    <row r="33" spans="1:6" x14ac:dyDescent="0.25">
      <c r="A33" s="33" t="s">
        <v>197</v>
      </c>
      <c r="B33" s="10"/>
      <c r="C33" s="10"/>
      <c r="D33" s="10">
        <v>120</v>
      </c>
    </row>
    <row r="34" spans="1:6" x14ac:dyDescent="0.25">
      <c r="A34" s="10" t="s">
        <v>198</v>
      </c>
      <c r="B34" s="10"/>
      <c r="C34" s="10"/>
      <c r="D34" s="33">
        <f>ROUND(4/58.056,3)</f>
        <v>6.9000000000000006E-2</v>
      </c>
      <c r="E34" t="s">
        <v>424</v>
      </c>
    </row>
    <row r="35" spans="1:6" x14ac:dyDescent="0.25">
      <c r="A35" s="10" t="s">
        <v>199</v>
      </c>
      <c r="B35" s="10"/>
      <c r="C35" s="10"/>
      <c r="D35" s="30">
        <f>D33*D34</f>
        <v>8.2800000000000011</v>
      </c>
      <c r="E35" t="s">
        <v>276</v>
      </c>
    </row>
    <row r="37" spans="1:6" x14ac:dyDescent="0.25">
      <c r="A37" s="21" t="s">
        <v>200</v>
      </c>
      <c r="B37" s="10"/>
      <c r="C37" s="10"/>
      <c r="D37" s="10"/>
      <c r="E37" t="s">
        <v>425</v>
      </c>
    </row>
    <row r="38" spans="1:6" x14ac:dyDescent="0.25">
      <c r="A38" s="33" t="s">
        <v>201</v>
      </c>
      <c r="B38" s="10"/>
      <c r="C38" s="10"/>
      <c r="D38" s="21">
        <v>410</v>
      </c>
    </row>
    <row r="40" spans="1:6" x14ac:dyDescent="0.25">
      <c r="A40" s="21" t="s">
        <v>202</v>
      </c>
      <c r="B40" s="10"/>
      <c r="C40" s="10"/>
      <c r="D40" s="10"/>
      <c r="E40" t="s">
        <v>426</v>
      </c>
    </row>
    <row r="41" spans="1:6" x14ac:dyDescent="0.25">
      <c r="A41" s="33" t="s">
        <v>203</v>
      </c>
      <c r="B41" s="10"/>
      <c r="C41" s="10"/>
      <c r="D41" s="10">
        <v>10</v>
      </c>
    </row>
    <row r="42" spans="1:6" ht="15.75" x14ac:dyDescent="0.25">
      <c r="A42" s="33" t="s">
        <v>204</v>
      </c>
      <c r="B42" s="10"/>
      <c r="C42" s="10"/>
      <c r="D42" s="21">
        <f>D41*D16</f>
        <v>52.01</v>
      </c>
      <c r="E42" t="s">
        <v>356</v>
      </c>
      <c r="F42" s="22"/>
    </row>
    <row r="44" spans="1:6" x14ac:dyDescent="0.25">
      <c r="A44" s="21" t="s">
        <v>205</v>
      </c>
      <c r="B44" s="10"/>
      <c r="C44" s="10"/>
      <c r="D44" s="10"/>
      <c r="E44" t="s">
        <v>427</v>
      </c>
    </row>
    <row r="45" spans="1:6" x14ac:dyDescent="0.25">
      <c r="A45" s="33" t="s">
        <v>206</v>
      </c>
      <c r="B45" s="10"/>
      <c r="C45" s="10"/>
      <c r="D45" s="10">
        <v>40</v>
      </c>
    </row>
    <row r="46" spans="1:6" x14ac:dyDescent="0.25">
      <c r="A46" s="33" t="s">
        <v>207</v>
      </c>
      <c r="B46" s="10"/>
      <c r="C46" s="10"/>
      <c r="D46" s="21">
        <f>D45*D16</f>
        <v>208.04</v>
      </c>
      <c r="E46" t="s">
        <v>357</v>
      </c>
    </row>
    <row r="48" spans="1:6" x14ac:dyDescent="0.25">
      <c r="A48" s="21" t="s">
        <v>180</v>
      </c>
      <c r="B48" s="10"/>
      <c r="C48" s="10"/>
      <c r="D48" s="10"/>
      <c r="E48" t="s">
        <v>417</v>
      </c>
    </row>
    <row r="49" spans="1:5" x14ac:dyDescent="0.25">
      <c r="A49" s="33" t="s">
        <v>181</v>
      </c>
      <c r="B49" s="10"/>
      <c r="C49" s="10"/>
      <c r="D49" s="10">
        <v>2</v>
      </c>
    </row>
    <row r="50" spans="1:5" x14ac:dyDescent="0.25">
      <c r="A50" s="33" t="s">
        <v>182</v>
      </c>
      <c r="B50" s="10"/>
      <c r="C50" s="10"/>
      <c r="D50" s="21">
        <f>D49*D16*2</f>
        <v>20.803999999999998</v>
      </c>
      <c r="E50" t="s">
        <v>358</v>
      </c>
    </row>
    <row r="53" spans="1:5" ht="15.75" x14ac:dyDescent="0.25">
      <c r="A53" s="4" t="s">
        <v>66</v>
      </c>
      <c r="B53" s="1"/>
      <c r="C53" s="3">
        <f>ROUND(((D22+D26+D30+D38+D42+D50+D46+D35)/(72*18)),3)</f>
        <v>0.98799999999999999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C0F1B-8EB8-487A-8545-57319E075E9E}">
  <sheetPr codeName="List4">
    <tabColor rgb="FFEE5454"/>
  </sheetPr>
  <dimension ref="A14:F48"/>
  <sheetViews>
    <sheetView showRuler="0" zoomScaleNormal="100" workbookViewId="0">
      <selection activeCell="R37" sqref="R37"/>
    </sheetView>
  </sheetViews>
  <sheetFormatPr defaultRowHeight="15" x14ac:dyDescent="0.25"/>
  <cols>
    <col min="3" max="3" width="9.5703125" customWidth="1"/>
    <col min="4" max="4" width="8.28515625" customWidth="1"/>
    <col min="5" max="5" width="9.28515625" customWidth="1"/>
  </cols>
  <sheetData>
    <row r="14" spans="1:6" x14ac:dyDescent="0.25">
      <c r="A14" t="s">
        <v>113</v>
      </c>
      <c r="D14">
        <v>44.86</v>
      </c>
      <c r="E14" t="s">
        <v>386</v>
      </c>
    </row>
    <row r="15" spans="1:6" x14ac:dyDescent="0.25">
      <c r="A15" t="s">
        <v>132</v>
      </c>
      <c r="D15">
        <f>ROUND(D14/7,3)</f>
        <v>6.4089999999999998</v>
      </c>
      <c r="E15" t="s">
        <v>133</v>
      </c>
      <c r="F15" t="s">
        <v>392</v>
      </c>
    </row>
    <row r="16" spans="1:6" x14ac:dyDescent="0.25">
      <c r="A16" t="s">
        <v>134</v>
      </c>
      <c r="D16">
        <v>3.5</v>
      </c>
      <c r="E16" t="s">
        <v>432</v>
      </c>
    </row>
    <row r="17" spans="1:5" x14ac:dyDescent="0.25">
      <c r="A17" s="26" t="s">
        <v>135</v>
      </c>
      <c r="B17" s="1"/>
      <c r="D17" s="1">
        <v>1.3</v>
      </c>
    </row>
    <row r="19" spans="1:5" x14ac:dyDescent="0.25">
      <c r="A19" s="23" t="s">
        <v>136</v>
      </c>
      <c r="B19" s="14"/>
      <c r="C19" s="14"/>
      <c r="D19" s="15"/>
      <c r="E19" t="s">
        <v>393</v>
      </c>
    </row>
    <row r="20" spans="1:5" x14ac:dyDescent="0.25">
      <c r="A20" s="34" t="s">
        <v>117</v>
      </c>
      <c r="B20" s="14"/>
      <c r="C20" s="15"/>
      <c r="D20" s="14">
        <v>40</v>
      </c>
      <c r="E20" t="s">
        <v>394</v>
      </c>
    </row>
    <row r="21" spans="1:5" x14ac:dyDescent="0.25">
      <c r="A21" s="34" t="s">
        <v>137</v>
      </c>
      <c r="B21" s="14"/>
      <c r="C21" s="23"/>
      <c r="D21" s="24">
        <f>ROUND(D20/D17,3)</f>
        <v>30.768999999999998</v>
      </c>
      <c r="E21" t="s">
        <v>138</v>
      </c>
    </row>
    <row r="23" spans="1:5" x14ac:dyDescent="0.25">
      <c r="A23" s="23" t="s">
        <v>139</v>
      </c>
      <c r="B23" s="14"/>
      <c r="C23" s="14"/>
      <c r="D23" s="15"/>
      <c r="E23" t="s">
        <v>395</v>
      </c>
    </row>
    <row r="24" spans="1:5" x14ac:dyDescent="0.25">
      <c r="A24" s="34" t="s">
        <v>117</v>
      </c>
      <c r="B24" s="14"/>
      <c r="C24" s="15"/>
      <c r="D24" s="14">
        <v>16</v>
      </c>
      <c r="E24" t="s">
        <v>396</v>
      </c>
    </row>
    <row r="25" spans="1:5" x14ac:dyDescent="0.25">
      <c r="A25" s="34" t="s">
        <v>118</v>
      </c>
      <c r="B25" s="15"/>
      <c r="C25" s="15"/>
      <c r="D25" s="15">
        <f>D24*D16*D15</f>
        <v>358.904</v>
      </c>
      <c r="E25" t="s">
        <v>251</v>
      </c>
    </row>
    <row r="26" spans="1:5" x14ac:dyDescent="0.25">
      <c r="A26" s="34" t="s">
        <v>137</v>
      </c>
      <c r="B26" s="14"/>
      <c r="C26" s="23"/>
      <c r="D26" s="51">
        <f>D25/D17</f>
        <v>276.08</v>
      </c>
      <c r="E26" t="s">
        <v>140</v>
      </c>
    </row>
    <row r="28" spans="1:5" x14ac:dyDescent="0.25">
      <c r="A28" s="21" t="s">
        <v>141</v>
      </c>
      <c r="B28" s="10"/>
      <c r="C28" s="10"/>
      <c r="D28" s="10"/>
    </row>
    <row r="29" spans="1:5" x14ac:dyDescent="0.25">
      <c r="A29" s="33" t="s">
        <v>142</v>
      </c>
      <c r="B29" s="10"/>
      <c r="C29" s="10"/>
      <c r="D29" s="10">
        <v>55</v>
      </c>
    </row>
    <row r="30" spans="1:5" x14ac:dyDescent="0.25">
      <c r="A30" s="33" t="s">
        <v>143</v>
      </c>
      <c r="B30" s="10"/>
      <c r="C30" s="10"/>
      <c r="D30" s="21">
        <f>D29*D15</f>
        <v>352.495</v>
      </c>
      <c r="E30" t="s">
        <v>252</v>
      </c>
    </row>
    <row r="32" spans="1:5" x14ac:dyDescent="0.25">
      <c r="A32" s="21" t="s">
        <v>144</v>
      </c>
      <c r="B32" s="10"/>
      <c r="C32" s="10"/>
      <c r="D32" s="10"/>
      <c r="E32" t="s">
        <v>397</v>
      </c>
    </row>
    <row r="33" spans="1:6" x14ac:dyDescent="0.25">
      <c r="A33" s="33" t="s">
        <v>145</v>
      </c>
      <c r="B33" s="10"/>
      <c r="C33" s="10"/>
      <c r="D33" s="21">
        <v>90</v>
      </c>
    </row>
    <row r="34" spans="1:6" ht="15.75" x14ac:dyDescent="0.25">
      <c r="F34" s="22"/>
    </row>
    <row r="35" spans="1:6" x14ac:dyDescent="0.25">
      <c r="A35" s="21" t="s">
        <v>146</v>
      </c>
      <c r="B35" s="10"/>
      <c r="C35" s="10"/>
      <c r="D35" s="10"/>
      <c r="E35" t="s">
        <v>398</v>
      </c>
    </row>
    <row r="36" spans="1:6" x14ac:dyDescent="0.25">
      <c r="A36" s="33" t="s">
        <v>147</v>
      </c>
      <c r="B36" s="10"/>
      <c r="C36" s="10"/>
      <c r="D36" s="10">
        <v>4</v>
      </c>
    </row>
    <row r="37" spans="1:6" x14ac:dyDescent="0.25">
      <c r="A37" s="33" t="s">
        <v>148</v>
      </c>
      <c r="B37" s="10"/>
      <c r="C37" s="10"/>
      <c r="D37" s="21">
        <f>D36*D16*D15</f>
        <v>89.725999999999999</v>
      </c>
      <c r="E37" t="s">
        <v>253</v>
      </c>
    </row>
    <row r="39" spans="1:6" x14ac:dyDescent="0.25">
      <c r="A39" s="21" t="s">
        <v>149</v>
      </c>
      <c r="B39" s="10"/>
      <c r="C39" s="10"/>
      <c r="D39" s="10"/>
      <c r="E39" t="s">
        <v>399</v>
      </c>
    </row>
    <row r="40" spans="1:6" x14ac:dyDescent="0.25">
      <c r="A40" s="33" t="s">
        <v>150</v>
      </c>
      <c r="B40" s="10"/>
      <c r="C40" s="10"/>
      <c r="D40" s="10">
        <v>17</v>
      </c>
    </row>
    <row r="41" spans="1:6" x14ac:dyDescent="0.25">
      <c r="A41" s="33" t="s">
        <v>148</v>
      </c>
      <c r="B41" s="10"/>
      <c r="C41" s="10"/>
      <c r="D41" s="21">
        <f>ROUND(D40*D16*D15,3)</f>
        <v>381.33600000000001</v>
      </c>
      <c r="E41" t="s">
        <v>298</v>
      </c>
    </row>
    <row r="48" spans="1:6" ht="15.75" x14ac:dyDescent="0.25">
      <c r="A48" s="4" t="s">
        <v>66</v>
      </c>
      <c r="B48" s="1"/>
      <c r="C48" s="3">
        <f>ROUND(((D21+D26+D30+D33+D37+D41)/(72*10.885))/2,3)</f>
        <v>0.77900000000000003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69747-2A9A-4893-A692-63198CB04E15}">
  <sheetPr codeName="List10">
    <tabColor rgb="FFEE5454"/>
  </sheetPr>
  <dimension ref="A14:E48"/>
  <sheetViews>
    <sheetView showRuler="0" topLeftCell="A13" zoomScaleNormal="100" workbookViewId="0">
      <selection activeCell="R39" sqref="R39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4" x14ac:dyDescent="0.25">
      <c r="A14" s="26"/>
      <c r="B14" s="1"/>
      <c r="D14" s="1"/>
    </row>
    <row r="18" spans="1:5" x14ac:dyDescent="0.25">
      <c r="A18" t="s">
        <v>151</v>
      </c>
      <c r="D18">
        <v>67.207999999999998</v>
      </c>
      <c r="E18" s="25" t="s">
        <v>472</v>
      </c>
    </row>
    <row r="19" spans="1:5" x14ac:dyDescent="0.25">
      <c r="A19" t="s">
        <v>383</v>
      </c>
      <c r="D19">
        <v>2.5</v>
      </c>
      <c r="E19" t="s">
        <v>400</v>
      </c>
    </row>
    <row r="20" spans="1:5" x14ac:dyDescent="0.25">
      <c r="A20" t="s">
        <v>153</v>
      </c>
      <c r="D20">
        <v>4.5</v>
      </c>
      <c r="E20" t="s">
        <v>401</v>
      </c>
    </row>
    <row r="21" spans="1:5" x14ac:dyDescent="0.25">
      <c r="A21" t="s">
        <v>154</v>
      </c>
      <c r="D21">
        <v>4</v>
      </c>
      <c r="E21" t="s">
        <v>402</v>
      </c>
    </row>
    <row r="22" spans="1:5" x14ac:dyDescent="0.25">
      <c r="A22" t="s">
        <v>155</v>
      </c>
      <c r="D22">
        <v>1.3</v>
      </c>
      <c r="E22" t="s">
        <v>402</v>
      </c>
    </row>
    <row r="23" spans="1:5" x14ac:dyDescent="0.25">
      <c r="A23" s="26" t="s">
        <v>156</v>
      </c>
      <c r="B23" s="1"/>
      <c r="D23" s="1">
        <v>1.67</v>
      </c>
    </row>
    <row r="24" spans="1:5" x14ac:dyDescent="0.25">
      <c r="A24" s="26" t="s">
        <v>135</v>
      </c>
      <c r="B24" s="1"/>
      <c r="D24" s="1">
        <v>1.3</v>
      </c>
    </row>
    <row r="26" spans="1:5" x14ac:dyDescent="0.25">
      <c r="A26" s="11" t="s">
        <v>18</v>
      </c>
      <c r="B26" s="12"/>
      <c r="C26" s="12"/>
      <c r="D26" s="18"/>
    </row>
    <row r="27" spans="1:5" x14ac:dyDescent="0.25">
      <c r="A27" s="32" t="s">
        <v>117</v>
      </c>
      <c r="B27" s="12"/>
      <c r="C27" s="18"/>
      <c r="D27" s="12">
        <v>700</v>
      </c>
    </row>
    <row r="28" spans="1:5" x14ac:dyDescent="0.25">
      <c r="A28" s="32" t="s">
        <v>119</v>
      </c>
      <c r="B28" s="12"/>
      <c r="C28" s="11"/>
      <c r="D28" s="19">
        <f>ROUND(D27/D23,3)</f>
        <v>419.16199999999998</v>
      </c>
      <c r="E28" t="s">
        <v>157</v>
      </c>
    </row>
    <row r="30" spans="1:5" x14ac:dyDescent="0.25">
      <c r="A30" s="23" t="s">
        <v>158</v>
      </c>
      <c r="B30" s="14"/>
      <c r="C30" s="14"/>
      <c r="D30" s="15"/>
      <c r="E30" t="s">
        <v>403</v>
      </c>
    </row>
    <row r="31" spans="1:5" x14ac:dyDescent="0.25">
      <c r="A31" s="34" t="s">
        <v>159</v>
      </c>
      <c r="B31" s="14"/>
      <c r="C31" s="15"/>
      <c r="D31" s="14">
        <f>D19*D21</f>
        <v>10</v>
      </c>
      <c r="E31" t="s">
        <v>254</v>
      </c>
    </row>
    <row r="32" spans="1:5" x14ac:dyDescent="0.25">
      <c r="A32" s="15" t="s">
        <v>160</v>
      </c>
      <c r="B32" s="15"/>
      <c r="C32" s="15"/>
      <c r="D32" s="15">
        <f>D31*D19*2.2</f>
        <v>55.000000000000007</v>
      </c>
      <c r="E32" t="s">
        <v>404</v>
      </c>
    </row>
    <row r="33" spans="1:5" x14ac:dyDescent="0.25">
      <c r="A33" s="34" t="s">
        <v>137</v>
      </c>
      <c r="B33" s="14"/>
      <c r="C33" s="23"/>
      <c r="D33" s="24">
        <f>ROUND(D32/D24,3)</f>
        <v>42.308</v>
      </c>
      <c r="E33" t="s">
        <v>161</v>
      </c>
    </row>
    <row r="35" spans="1:5" x14ac:dyDescent="0.25">
      <c r="A35" s="23" t="s">
        <v>162</v>
      </c>
      <c r="B35" s="14"/>
      <c r="C35" s="14"/>
      <c r="D35" s="15"/>
      <c r="E35" t="s">
        <v>408</v>
      </c>
    </row>
    <row r="36" spans="1:5" x14ac:dyDescent="0.25">
      <c r="A36" s="34" t="s">
        <v>159</v>
      </c>
      <c r="B36" s="14"/>
      <c r="C36" s="15"/>
      <c r="D36" s="14">
        <f>D20*D22</f>
        <v>5.8500000000000005</v>
      </c>
      <c r="E36" t="s">
        <v>255</v>
      </c>
    </row>
    <row r="37" spans="1:5" x14ac:dyDescent="0.25">
      <c r="A37" s="15" t="s">
        <v>160</v>
      </c>
      <c r="B37" s="15"/>
      <c r="C37" s="15"/>
      <c r="D37" s="15">
        <f>((D19*2.2*2)+(D20*1.8))*D36</f>
        <v>111.73500000000001</v>
      </c>
      <c r="E37" t="s">
        <v>405</v>
      </c>
    </row>
    <row r="38" spans="1:5" x14ac:dyDescent="0.25">
      <c r="A38" s="34" t="s">
        <v>137</v>
      </c>
      <c r="B38" s="14"/>
      <c r="C38" s="23"/>
      <c r="D38" s="24">
        <f>D37/D24</f>
        <v>85.95</v>
      </c>
      <c r="E38" t="s">
        <v>163</v>
      </c>
    </row>
    <row r="40" spans="1:5" x14ac:dyDescent="0.25">
      <c r="A40" s="21" t="s">
        <v>164</v>
      </c>
      <c r="B40" s="10"/>
      <c r="C40" s="10"/>
      <c r="D40" s="10"/>
      <c r="E40" t="s">
        <v>406</v>
      </c>
    </row>
    <row r="41" spans="1:5" x14ac:dyDescent="0.25">
      <c r="A41" s="33" t="s">
        <v>165</v>
      </c>
      <c r="B41" s="10"/>
      <c r="C41" s="10"/>
      <c r="D41" s="10">
        <v>9</v>
      </c>
      <c r="E41" t="s">
        <v>407</v>
      </c>
    </row>
    <row r="42" spans="1:5" x14ac:dyDescent="0.25">
      <c r="A42" s="33" t="s">
        <v>166</v>
      </c>
      <c r="B42" s="10"/>
      <c r="C42" s="10"/>
      <c r="D42" s="21">
        <f>D41*D18</f>
        <v>604.87199999999996</v>
      </c>
      <c r="E42" t="s">
        <v>256</v>
      </c>
    </row>
    <row r="44" spans="1:5" x14ac:dyDescent="0.25">
      <c r="A44" s="21" t="s">
        <v>167</v>
      </c>
      <c r="B44" s="10"/>
      <c r="C44" s="10"/>
      <c r="D44" s="10"/>
      <c r="E44" t="s">
        <v>409</v>
      </c>
    </row>
    <row r="45" spans="1:5" x14ac:dyDescent="0.25">
      <c r="A45" s="33" t="s">
        <v>168</v>
      </c>
      <c r="B45" s="10"/>
      <c r="C45" s="10"/>
      <c r="D45" s="10">
        <v>6</v>
      </c>
      <c r="E45" t="s">
        <v>108</v>
      </c>
    </row>
    <row r="46" spans="1:5" x14ac:dyDescent="0.25">
      <c r="A46" s="33" t="s">
        <v>169</v>
      </c>
      <c r="B46" s="10"/>
      <c r="C46" s="10"/>
      <c r="D46" s="21">
        <f>D45*D20</f>
        <v>27</v>
      </c>
      <c r="E46" t="s">
        <v>297</v>
      </c>
    </row>
    <row r="48" spans="1:5" ht="15.75" x14ac:dyDescent="0.25">
      <c r="A48" s="4" t="s">
        <v>66</v>
      </c>
      <c r="B48" s="1"/>
      <c r="C48" s="3">
        <f>ROUND(((D28+D33+D38+D42+D46)/(72*21.771)),3)</f>
        <v>0.752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AD827-E896-4917-8CF6-37B64EDF16EC}">
  <sheetPr codeName="List11">
    <tabColor rgb="FFEE5454"/>
  </sheetPr>
  <dimension ref="A14:E48"/>
  <sheetViews>
    <sheetView showRuler="0" zoomScaleNormal="100" workbookViewId="0">
      <selection activeCell="R39" sqref="R39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5" x14ac:dyDescent="0.25">
      <c r="A14" s="26"/>
      <c r="B14" s="1"/>
      <c r="D14" s="1"/>
    </row>
    <row r="15" spans="1:5" x14ac:dyDescent="0.25">
      <c r="A15" t="s">
        <v>151</v>
      </c>
      <c r="D15">
        <v>74.438000000000002</v>
      </c>
      <c r="E15" s="25" t="s">
        <v>472</v>
      </c>
    </row>
    <row r="16" spans="1:5" x14ac:dyDescent="0.25">
      <c r="A16" t="s">
        <v>383</v>
      </c>
      <c r="D16">
        <v>3</v>
      </c>
      <c r="E16" t="s">
        <v>108</v>
      </c>
    </row>
    <row r="17" spans="1:5" x14ac:dyDescent="0.25">
      <c r="A17" t="s">
        <v>153</v>
      </c>
      <c r="D17">
        <v>4</v>
      </c>
      <c r="E17" t="s">
        <v>108</v>
      </c>
    </row>
    <row r="18" spans="1:5" x14ac:dyDescent="0.25">
      <c r="A18" t="s">
        <v>154</v>
      </c>
      <c r="D18">
        <v>4</v>
      </c>
      <c r="E18" t="s">
        <v>402</v>
      </c>
    </row>
    <row r="19" spans="1:5" x14ac:dyDescent="0.25">
      <c r="A19" t="s">
        <v>155</v>
      </c>
      <c r="D19">
        <v>1.3</v>
      </c>
      <c r="E19" t="s">
        <v>402</v>
      </c>
    </row>
    <row r="20" spans="1:5" x14ac:dyDescent="0.25">
      <c r="A20" s="26" t="s">
        <v>156</v>
      </c>
      <c r="B20" s="1"/>
      <c r="D20" s="1">
        <v>1.67</v>
      </c>
    </row>
    <row r="21" spans="1:5" x14ac:dyDescent="0.25">
      <c r="A21" s="26" t="s">
        <v>135</v>
      </c>
      <c r="B21" s="1"/>
      <c r="D21" s="1">
        <v>1.3</v>
      </c>
    </row>
    <row r="23" spans="1:5" x14ac:dyDescent="0.25">
      <c r="A23" s="11" t="s">
        <v>18</v>
      </c>
      <c r="B23" s="12"/>
      <c r="C23" s="12"/>
      <c r="D23" s="18"/>
    </row>
    <row r="24" spans="1:5" x14ac:dyDescent="0.25">
      <c r="A24" s="32" t="s">
        <v>117</v>
      </c>
      <c r="B24" s="12"/>
      <c r="C24" s="18"/>
      <c r="D24" s="12">
        <v>700</v>
      </c>
    </row>
    <row r="25" spans="1:5" x14ac:dyDescent="0.25">
      <c r="A25" s="32" t="s">
        <v>119</v>
      </c>
      <c r="B25" s="12"/>
      <c r="C25" s="11"/>
      <c r="D25" s="19">
        <f>ROUND(D24/D20,3)</f>
        <v>419.16199999999998</v>
      </c>
      <c r="E25" t="s">
        <v>157</v>
      </c>
    </row>
    <row r="27" spans="1:5" x14ac:dyDescent="0.25">
      <c r="A27" s="23" t="s">
        <v>158</v>
      </c>
      <c r="B27" s="14"/>
      <c r="C27" s="14"/>
      <c r="D27" s="15"/>
      <c r="E27" t="s">
        <v>403</v>
      </c>
    </row>
    <row r="28" spans="1:5" x14ac:dyDescent="0.25">
      <c r="A28" s="34" t="s">
        <v>159</v>
      </c>
      <c r="B28" s="14"/>
      <c r="C28" s="15"/>
      <c r="D28" s="14">
        <f>D16*D18</f>
        <v>12</v>
      </c>
      <c r="E28" t="s">
        <v>257</v>
      </c>
    </row>
    <row r="29" spans="1:5" x14ac:dyDescent="0.25">
      <c r="A29" s="15" t="s">
        <v>160</v>
      </c>
      <c r="B29" s="15"/>
      <c r="C29" s="15"/>
      <c r="D29" s="15">
        <f>D28*D16*2.2</f>
        <v>79.2</v>
      </c>
      <c r="E29" t="s">
        <v>410</v>
      </c>
    </row>
    <row r="30" spans="1:5" x14ac:dyDescent="0.25">
      <c r="A30" s="34" t="s">
        <v>137</v>
      </c>
      <c r="B30" s="14"/>
      <c r="C30" s="23"/>
      <c r="D30" s="24">
        <f>ROUND(D29/D21,3)</f>
        <v>60.923000000000002</v>
      </c>
      <c r="E30" t="s">
        <v>170</v>
      </c>
    </row>
    <row r="32" spans="1:5" x14ac:dyDescent="0.25">
      <c r="A32" s="23" t="s">
        <v>162</v>
      </c>
      <c r="B32" s="14"/>
      <c r="C32" s="14"/>
      <c r="D32" s="15"/>
      <c r="E32" t="s">
        <v>408</v>
      </c>
    </row>
    <row r="33" spans="1:5" x14ac:dyDescent="0.25">
      <c r="A33" s="34" t="s">
        <v>159</v>
      </c>
      <c r="B33" s="14"/>
      <c r="C33" s="15"/>
      <c r="D33" s="14">
        <f>D17*D19</f>
        <v>5.2</v>
      </c>
      <c r="E33" t="s">
        <v>258</v>
      </c>
    </row>
    <row r="34" spans="1:5" x14ac:dyDescent="0.25">
      <c r="A34" s="15" t="s">
        <v>160</v>
      </c>
      <c r="B34" s="15"/>
      <c r="C34" s="15"/>
      <c r="D34" s="15">
        <f>((D16*2.2*2)+(D17*1.8))*D33</f>
        <v>106.08000000000001</v>
      </c>
      <c r="E34" t="s">
        <v>411</v>
      </c>
    </row>
    <row r="35" spans="1:5" x14ac:dyDescent="0.25">
      <c r="A35" s="34" t="s">
        <v>137</v>
      </c>
      <c r="B35" s="14"/>
      <c r="C35" s="23"/>
      <c r="D35" s="24">
        <f>D34/D21</f>
        <v>81.600000000000009</v>
      </c>
      <c r="E35" t="s">
        <v>171</v>
      </c>
    </row>
    <row r="37" spans="1:5" x14ac:dyDescent="0.25">
      <c r="A37" s="21" t="s">
        <v>164</v>
      </c>
      <c r="B37" s="10"/>
      <c r="C37" s="10"/>
      <c r="D37" s="10"/>
      <c r="E37" t="s">
        <v>406</v>
      </c>
    </row>
    <row r="38" spans="1:5" x14ac:dyDescent="0.25">
      <c r="A38" s="33" t="s">
        <v>165</v>
      </c>
      <c r="B38" s="10"/>
      <c r="C38" s="10"/>
      <c r="D38" s="10">
        <v>9</v>
      </c>
      <c r="E38" t="s">
        <v>407</v>
      </c>
    </row>
    <row r="39" spans="1:5" x14ac:dyDescent="0.25">
      <c r="A39" s="33" t="s">
        <v>166</v>
      </c>
      <c r="B39" s="10"/>
      <c r="C39" s="10"/>
      <c r="D39" s="21">
        <f>D38*D15</f>
        <v>669.94200000000001</v>
      </c>
      <c r="E39" t="s">
        <v>259</v>
      </c>
    </row>
    <row r="41" spans="1:5" x14ac:dyDescent="0.25">
      <c r="A41" s="21" t="s">
        <v>167</v>
      </c>
      <c r="B41" s="10"/>
      <c r="C41" s="10"/>
      <c r="D41" s="10"/>
      <c r="E41" t="s">
        <v>409</v>
      </c>
    </row>
    <row r="42" spans="1:5" x14ac:dyDescent="0.25">
      <c r="A42" s="33" t="s">
        <v>168</v>
      </c>
      <c r="B42" s="10"/>
      <c r="C42" s="10"/>
      <c r="D42" s="10">
        <v>6</v>
      </c>
      <c r="E42" t="s">
        <v>108</v>
      </c>
    </row>
    <row r="43" spans="1:5" x14ac:dyDescent="0.25">
      <c r="A43" s="33" t="s">
        <v>169</v>
      </c>
      <c r="B43" s="10"/>
      <c r="C43" s="10"/>
      <c r="D43" s="21">
        <f>D42*D17</f>
        <v>24</v>
      </c>
      <c r="E43" t="s">
        <v>296</v>
      </c>
    </row>
    <row r="48" spans="1:5" ht="15.75" x14ac:dyDescent="0.25">
      <c r="A48" s="4" t="s">
        <v>66</v>
      </c>
      <c r="B48" s="1"/>
      <c r="C48" s="3">
        <f>ROUND(((D25+D30+D35+D39+D43)/(72*21.771)),3)</f>
        <v>0.80100000000000005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BA86-9E0B-4F8A-80B3-9A9F940C50F1}">
  <sheetPr codeName="List12">
    <tabColor rgb="FFEE5454"/>
  </sheetPr>
  <dimension ref="A14:E48"/>
  <sheetViews>
    <sheetView showRuler="0" zoomScaleNormal="100" workbookViewId="0">
      <selection activeCell="S19" sqref="S19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4" x14ac:dyDescent="0.25">
      <c r="A14" s="26"/>
      <c r="B14" s="1"/>
      <c r="D14" s="1"/>
    </row>
    <row r="17" spans="1:5" x14ac:dyDescent="0.25">
      <c r="A17" t="s">
        <v>151</v>
      </c>
      <c r="D17">
        <v>60.728999999999999</v>
      </c>
      <c r="E17" s="25" t="s">
        <v>472</v>
      </c>
    </row>
    <row r="18" spans="1:5" x14ac:dyDescent="0.25">
      <c r="A18" t="s">
        <v>153</v>
      </c>
      <c r="D18">
        <v>6.8</v>
      </c>
      <c r="E18" t="s">
        <v>108</v>
      </c>
    </row>
    <row r="19" spans="1:5" x14ac:dyDescent="0.25">
      <c r="A19" t="s">
        <v>155</v>
      </c>
      <c r="D19">
        <v>1.3</v>
      </c>
      <c r="E19" t="s">
        <v>402</v>
      </c>
    </row>
    <row r="20" spans="1:5" x14ac:dyDescent="0.25">
      <c r="A20" s="26" t="s">
        <v>156</v>
      </c>
      <c r="B20" s="1"/>
      <c r="D20" s="1">
        <v>1.67</v>
      </c>
    </row>
    <row r="21" spans="1:5" x14ac:dyDescent="0.25">
      <c r="A21" s="26" t="s">
        <v>135</v>
      </c>
      <c r="B21" s="1"/>
      <c r="D21" s="1">
        <v>1.3</v>
      </c>
    </row>
    <row r="23" spans="1:5" x14ac:dyDescent="0.25">
      <c r="A23" s="11" t="s">
        <v>18</v>
      </c>
      <c r="B23" s="12"/>
      <c r="C23" s="12"/>
      <c r="D23" s="18"/>
    </row>
    <row r="24" spans="1:5" x14ac:dyDescent="0.25">
      <c r="A24" s="32" t="s">
        <v>117</v>
      </c>
      <c r="B24" s="12"/>
      <c r="C24" s="18"/>
      <c r="D24" s="12">
        <v>1180</v>
      </c>
    </row>
    <row r="25" spans="1:5" x14ac:dyDescent="0.25">
      <c r="A25" s="32" t="s">
        <v>119</v>
      </c>
      <c r="B25" s="12"/>
      <c r="C25" s="11"/>
      <c r="D25" s="19">
        <f>ROUND(D24/D20,3)</f>
        <v>706.58699999999999</v>
      </c>
      <c r="E25" t="s">
        <v>172</v>
      </c>
    </row>
    <row r="27" spans="1:5" x14ac:dyDescent="0.25">
      <c r="A27" s="23" t="s">
        <v>162</v>
      </c>
      <c r="B27" s="14"/>
      <c r="C27" s="14"/>
      <c r="D27" s="15"/>
      <c r="E27" t="s">
        <v>412</v>
      </c>
    </row>
    <row r="28" spans="1:5" x14ac:dyDescent="0.25">
      <c r="A28" s="34" t="s">
        <v>159</v>
      </c>
      <c r="B28" s="14"/>
      <c r="C28" s="15"/>
      <c r="D28" s="14">
        <f>D18*D19</f>
        <v>8.84</v>
      </c>
      <c r="E28" t="s">
        <v>260</v>
      </c>
    </row>
    <row r="29" spans="1:5" x14ac:dyDescent="0.25">
      <c r="A29" s="15" t="s">
        <v>160</v>
      </c>
      <c r="B29" s="15"/>
      <c r="C29" s="15"/>
      <c r="D29" s="15">
        <f>ROUND(D18*1.8*D28,3)</f>
        <v>108.202</v>
      </c>
      <c r="E29" t="s">
        <v>413</v>
      </c>
    </row>
    <row r="30" spans="1:5" x14ac:dyDescent="0.25">
      <c r="A30" s="34" t="s">
        <v>137</v>
      </c>
      <c r="B30" s="14"/>
      <c r="C30" s="23"/>
      <c r="D30" s="24">
        <f>ROUND(D29/D21,3)</f>
        <v>83.231999999999999</v>
      </c>
      <c r="E30" t="s">
        <v>173</v>
      </c>
    </row>
    <row r="32" spans="1:5" x14ac:dyDescent="0.25">
      <c r="A32" s="21" t="s">
        <v>164</v>
      </c>
      <c r="B32" s="10"/>
      <c r="C32" s="10"/>
      <c r="D32" s="10"/>
      <c r="E32" t="s">
        <v>406</v>
      </c>
    </row>
    <row r="33" spans="1:5" x14ac:dyDescent="0.25">
      <c r="A33" s="33" t="s">
        <v>165</v>
      </c>
      <c r="B33" s="10"/>
      <c r="C33" s="10"/>
      <c r="D33" s="10">
        <v>9</v>
      </c>
      <c r="E33" t="s">
        <v>407</v>
      </c>
    </row>
    <row r="34" spans="1:5" x14ac:dyDescent="0.25">
      <c r="A34" s="33" t="s">
        <v>166</v>
      </c>
      <c r="B34" s="10"/>
      <c r="C34" s="10"/>
      <c r="D34" s="21">
        <f>D33*D17</f>
        <v>546.56100000000004</v>
      </c>
      <c r="E34" t="s">
        <v>261</v>
      </c>
    </row>
    <row r="36" spans="1:5" x14ac:dyDescent="0.25">
      <c r="A36" s="21" t="s">
        <v>167</v>
      </c>
      <c r="B36" s="10"/>
      <c r="C36" s="10"/>
      <c r="D36" s="10"/>
      <c r="E36" t="s">
        <v>409</v>
      </c>
    </row>
    <row r="37" spans="1:5" x14ac:dyDescent="0.25">
      <c r="A37" s="33" t="s">
        <v>168</v>
      </c>
      <c r="B37" s="10"/>
      <c r="C37" s="10"/>
      <c r="D37" s="10">
        <v>6</v>
      </c>
      <c r="E37" t="s">
        <v>108</v>
      </c>
    </row>
    <row r="38" spans="1:5" x14ac:dyDescent="0.25">
      <c r="A38" s="33" t="s">
        <v>169</v>
      </c>
      <c r="B38" s="10"/>
      <c r="C38" s="10"/>
      <c r="D38" s="21">
        <f>D37*D18</f>
        <v>40.799999999999997</v>
      </c>
      <c r="E38" t="s">
        <v>295</v>
      </c>
    </row>
    <row r="48" spans="1:5" ht="15.75" x14ac:dyDescent="0.25">
      <c r="A48" s="4" t="s">
        <v>66</v>
      </c>
      <c r="B48" s="1"/>
      <c r="C48" s="3">
        <f>ROUND(((D25+D30+D34+D38)/(72*21.771)),3)</f>
        <v>0.879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8B6D6-EBED-4CC5-A652-E1DCCF795569}">
  <sheetPr codeName="List13">
    <tabColor rgb="FFEE5454"/>
  </sheetPr>
  <dimension ref="A14:E48"/>
  <sheetViews>
    <sheetView showRuler="0" topLeftCell="A10" zoomScaleNormal="100" workbookViewId="0">
      <selection activeCell="R39" sqref="R39"/>
    </sheetView>
  </sheetViews>
  <sheetFormatPr defaultRowHeight="15" x14ac:dyDescent="0.25"/>
  <cols>
    <col min="3" max="3" width="12.5703125" customWidth="1"/>
    <col min="5" max="5" width="9.28515625" customWidth="1"/>
  </cols>
  <sheetData>
    <row r="14" spans="1:4" x14ac:dyDescent="0.25">
      <c r="A14" s="26"/>
      <c r="B14" s="1"/>
      <c r="D14" s="1"/>
    </row>
    <row r="17" spans="1:5" x14ac:dyDescent="0.25">
      <c r="A17" t="s">
        <v>151</v>
      </c>
      <c r="D17">
        <v>41.063000000000002</v>
      </c>
      <c r="E17" s="25" t="s">
        <v>472</v>
      </c>
    </row>
    <row r="18" spans="1:5" x14ac:dyDescent="0.25">
      <c r="A18" t="s">
        <v>153</v>
      </c>
      <c r="D18">
        <v>7</v>
      </c>
      <c r="E18" t="s">
        <v>108</v>
      </c>
    </row>
    <row r="19" spans="1:5" x14ac:dyDescent="0.25">
      <c r="A19" t="s">
        <v>155</v>
      </c>
      <c r="D19">
        <v>1.3</v>
      </c>
      <c r="E19" t="s">
        <v>402</v>
      </c>
    </row>
    <row r="20" spans="1:5" x14ac:dyDescent="0.25">
      <c r="A20" s="26" t="s">
        <v>156</v>
      </c>
      <c r="B20" s="1"/>
      <c r="D20" s="1">
        <v>1.67</v>
      </c>
    </row>
    <row r="21" spans="1:5" x14ac:dyDescent="0.25">
      <c r="A21" s="26" t="s">
        <v>135</v>
      </c>
      <c r="B21" s="1"/>
      <c r="D21" s="1">
        <v>1.3</v>
      </c>
    </row>
    <row r="23" spans="1:5" x14ac:dyDescent="0.25">
      <c r="A23" s="11" t="s">
        <v>18</v>
      </c>
      <c r="B23" s="12"/>
      <c r="C23" s="12"/>
      <c r="D23" s="18"/>
    </row>
    <row r="24" spans="1:5" x14ac:dyDescent="0.25">
      <c r="A24" s="32" t="s">
        <v>117</v>
      </c>
      <c r="B24" s="12"/>
      <c r="C24" s="18"/>
      <c r="D24" s="12">
        <v>1180</v>
      </c>
    </row>
    <row r="25" spans="1:5" x14ac:dyDescent="0.25">
      <c r="A25" s="32" t="s">
        <v>119</v>
      </c>
      <c r="B25" s="12"/>
      <c r="C25" s="11"/>
      <c r="D25" s="19">
        <f>ROUND(D24/D20,3)</f>
        <v>706.58699999999999</v>
      </c>
      <c r="E25" t="s">
        <v>172</v>
      </c>
    </row>
    <row r="27" spans="1:5" x14ac:dyDescent="0.25">
      <c r="A27" s="23" t="s">
        <v>162</v>
      </c>
      <c r="B27" s="14"/>
      <c r="C27" s="14"/>
      <c r="D27" s="15"/>
      <c r="E27" t="s">
        <v>412</v>
      </c>
    </row>
    <row r="28" spans="1:5" x14ac:dyDescent="0.25">
      <c r="A28" s="34" t="s">
        <v>159</v>
      </c>
      <c r="B28" s="14"/>
      <c r="C28" s="15"/>
      <c r="D28" s="14">
        <f>D18*D19</f>
        <v>9.1</v>
      </c>
      <c r="E28" t="s">
        <v>262</v>
      </c>
    </row>
    <row r="29" spans="1:5" x14ac:dyDescent="0.25">
      <c r="A29" s="15" t="s">
        <v>160</v>
      </c>
      <c r="B29" s="15"/>
      <c r="C29" s="15"/>
      <c r="D29" s="15">
        <f>ROUND(D18*1.8*D28,3)</f>
        <v>114.66</v>
      </c>
      <c r="E29" t="s">
        <v>414</v>
      </c>
    </row>
    <row r="30" spans="1:5" x14ac:dyDescent="0.25">
      <c r="A30" s="34" t="s">
        <v>137</v>
      </c>
      <c r="B30" s="14"/>
      <c r="C30" s="23"/>
      <c r="D30" s="24">
        <f>ROUND(D29/D21,3)</f>
        <v>88.2</v>
      </c>
      <c r="E30" t="s">
        <v>174</v>
      </c>
    </row>
    <row r="32" spans="1:5" x14ac:dyDescent="0.25">
      <c r="A32" s="21" t="s">
        <v>164</v>
      </c>
      <c r="B32" s="10"/>
      <c r="C32" s="10"/>
      <c r="D32" s="10"/>
      <c r="E32" t="s">
        <v>406</v>
      </c>
    </row>
    <row r="33" spans="1:5" x14ac:dyDescent="0.25">
      <c r="A33" s="33" t="s">
        <v>165</v>
      </c>
      <c r="B33" s="10"/>
      <c r="C33" s="10"/>
      <c r="D33" s="10">
        <v>9</v>
      </c>
      <c r="E33" t="s">
        <v>407</v>
      </c>
    </row>
    <row r="34" spans="1:5" x14ac:dyDescent="0.25">
      <c r="A34" s="33" t="s">
        <v>166</v>
      </c>
      <c r="B34" s="10"/>
      <c r="C34" s="10"/>
      <c r="D34" s="21">
        <f>D33*D17</f>
        <v>369.56700000000001</v>
      </c>
      <c r="E34" t="s">
        <v>263</v>
      </c>
    </row>
    <row r="36" spans="1:5" x14ac:dyDescent="0.25">
      <c r="A36" s="21" t="s">
        <v>167</v>
      </c>
      <c r="B36" s="10"/>
      <c r="C36" s="10"/>
      <c r="D36" s="10"/>
      <c r="E36" t="s">
        <v>409</v>
      </c>
    </row>
    <row r="37" spans="1:5" x14ac:dyDescent="0.25">
      <c r="A37" s="33" t="s">
        <v>168</v>
      </c>
      <c r="B37" s="10"/>
      <c r="C37" s="10"/>
      <c r="D37" s="10">
        <v>6</v>
      </c>
      <c r="E37" t="s">
        <v>108</v>
      </c>
    </row>
    <row r="38" spans="1:5" x14ac:dyDescent="0.25">
      <c r="A38" s="33" t="s">
        <v>169</v>
      </c>
      <c r="B38" s="10"/>
      <c r="C38" s="10"/>
      <c r="D38" s="21">
        <f>D37*D18</f>
        <v>42</v>
      </c>
      <c r="E38" t="s">
        <v>294</v>
      </c>
    </row>
    <row r="48" spans="1:5" ht="15.75" x14ac:dyDescent="0.25">
      <c r="A48" s="4" t="s">
        <v>66</v>
      </c>
      <c r="B48" s="1"/>
      <c r="C48" s="3">
        <f>ROUND(((D25+D30+D34+D38)/(72*21.771)),3)</f>
        <v>0.77</v>
      </c>
    </row>
  </sheetData>
  <pageMargins left="0.19685039370078741" right="0.19685039370078741" top="0.19685039370078741" bottom="0.19685039370078741" header="0" footer="0"/>
  <pageSetup paperSize="9" orientation="portrait" r:id="rId1"/>
  <headerFooter>
    <oddHeader>&amp;C&amp;"MS UI Gothic"&amp;10&amp;K000000•• PROTECTED 関係者外秘&amp;1#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e5f7a4f-8efa-4e17-a7aa-aba46f9e9e4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CC51859A9D4D4E93C9D5DF26BC98D5" ma:contentTypeVersion="13" ma:contentTypeDescription="Create a new document." ma:contentTypeScope="" ma:versionID="03c10ae9cbf305ea3724a5a813c319a9">
  <xsd:schema xmlns:xsd="http://www.w3.org/2001/XMLSchema" xmlns:xs="http://www.w3.org/2001/XMLSchema" xmlns:p="http://schemas.microsoft.com/office/2006/metadata/properties" xmlns:ns3="be5f7a4f-8efa-4e17-a7aa-aba46f9e9e4b" targetNamespace="http://schemas.microsoft.com/office/2006/metadata/properties" ma:root="true" ma:fieldsID="72e7408f249dfc4ebe41aedcd247052b" ns3:_="">
    <xsd:import namespace="be5f7a4f-8efa-4e17-a7aa-aba46f9e9e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5f7a4f-8efa-4e17-a7aa-aba46f9e9e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2E1F82-632E-4563-A2CB-9078E58BA83C}">
  <ds:schemaRefs>
    <ds:schemaRef ds:uri="http://schemas.microsoft.com/office/2006/documentManagement/types"/>
    <ds:schemaRef ds:uri="be5f7a4f-8efa-4e17-a7aa-aba46f9e9e4b"/>
    <ds:schemaRef ds:uri="http://purl.org/dc/elements/1.1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B97F057-C78C-4DF6-88EB-534D36B44E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F2C44E-005B-470A-BE15-018162DFDB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5f7a4f-8efa-4e17-a7aa-aba46f9e9e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47</vt:i4>
      </vt:variant>
    </vt:vector>
  </HeadingPairs>
  <TitlesOfParts>
    <vt:vector size="47" baseType="lpstr">
      <vt:lpstr>sorting</vt:lpstr>
      <vt:lpstr>WL DP SS</vt:lpstr>
      <vt:lpstr>SS 1</vt:lpstr>
      <vt:lpstr>SS 2</vt:lpstr>
      <vt:lpstr>SS 3</vt:lpstr>
      <vt:lpstr>SS 4</vt:lpstr>
      <vt:lpstr>SS 5</vt:lpstr>
      <vt:lpstr>SS 6</vt:lpstr>
      <vt:lpstr>SS 7</vt:lpstr>
      <vt:lpstr>SS 8</vt:lpstr>
      <vt:lpstr>SS 9</vt:lpstr>
      <vt:lpstr>SS 10</vt:lpstr>
      <vt:lpstr>SS 11</vt:lpstr>
      <vt:lpstr>SS 12</vt:lpstr>
      <vt:lpstr>SS 13</vt:lpstr>
      <vt:lpstr>A</vt:lpstr>
      <vt:lpstr>A1</vt:lpstr>
      <vt:lpstr>A2</vt:lpstr>
      <vt:lpstr>A3</vt:lpstr>
      <vt:lpstr>A4</vt:lpstr>
      <vt:lpstr>A5</vt:lpstr>
      <vt:lpstr>A6</vt:lpstr>
      <vt:lpstr>A7</vt:lpstr>
      <vt:lpstr>B</vt:lpstr>
      <vt:lpstr>B1</vt:lpstr>
      <vt:lpstr>B2</vt:lpstr>
      <vt:lpstr>C</vt:lpstr>
      <vt:lpstr>C1</vt:lpstr>
      <vt:lpstr>C2</vt:lpstr>
      <vt:lpstr>C3</vt:lpstr>
      <vt:lpstr>C4</vt:lpstr>
      <vt:lpstr>C5</vt:lpstr>
      <vt:lpstr>C6</vt:lpstr>
      <vt:lpstr>C7</vt:lpstr>
      <vt:lpstr>D</vt:lpstr>
      <vt:lpstr>D1</vt:lpstr>
      <vt:lpstr>D2</vt:lpstr>
      <vt:lpstr>D3</vt:lpstr>
      <vt:lpstr>E</vt:lpstr>
      <vt:lpstr>D4</vt:lpstr>
      <vt:lpstr>E1</vt:lpstr>
      <vt:lpstr>E2</vt:lpstr>
      <vt:lpstr>E3</vt:lpstr>
      <vt:lpstr>E4</vt:lpstr>
      <vt:lpstr>E5</vt:lpstr>
      <vt:lpstr>E6</vt:lpstr>
      <vt:lpstr>E7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Radek Rus (TMMCZ)</dc:creator>
  <cp:keywords/>
  <dc:description/>
  <cp:lastModifiedBy>Radek Rus (TMMCZ)</cp:lastModifiedBy>
  <cp:revision/>
  <cp:lastPrinted>2024-04-11T12:11:22Z</cp:lastPrinted>
  <dcterms:created xsi:type="dcterms:W3CDTF">2024-02-21T19:00:06Z</dcterms:created>
  <dcterms:modified xsi:type="dcterms:W3CDTF">2025-04-08T09:52:21Z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0x010100CDCC51859A9D4D4E93C9D5DF26BC98D5</vt:lpwstr>
  </property>
  <property fmtid="{D5CDD505-2E9C-101B-9397-08002B2CF9AE}" pid="3" name="MSIP_Label_d9544d3e-f761-46b2-881e-fd08f3b12f65_Enabled">
    <vt:lpwstr>true</vt:lpwstr>
  </property>
  <property fmtid="{D5CDD505-2E9C-101B-9397-08002B2CF9AE}" pid="4" name="MSIP_Label_d9544d3e-f761-46b2-881e-fd08f3b12f65_SetDate">
    <vt:lpwstr>2024-04-11T12:59:04Z</vt:lpwstr>
  </property>
  <property fmtid="{D5CDD505-2E9C-101B-9397-08002B2CF9AE}" pid="5" name="MSIP_Label_d9544d3e-f761-46b2-881e-fd08f3b12f65_Method">
    <vt:lpwstr>Standard</vt:lpwstr>
  </property>
  <property fmtid="{D5CDD505-2E9C-101B-9397-08002B2CF9AE}" pid="6" name="MSIP_Label_d9544d3e-f761-46b2-881e-fd08f3b12f65_Name">
    <vt:lpwstr>Protected</vt:lpwstr>
  </property>
  <property fmtid="{D5CDD505-2E9C-101B-9397-08002B2CF9AE}" pid="7" name="MSIP_Label_d9544d3e-f761-46b2-881e-fd08f3b12f65_SiteId">
    <vt:lpwstr>52b742d1-3dc2-47ac-bf03-609c83d9df9f</vt:lpwstr>
  </property>
  <property fmtid="{D5CDD505-2E9C-101B-9397-08002B2CF9AE}" pid="8" name="MSIP_Label_d9544d3e-f761-46b2-881e-fd08f3b12f65_ActionId">
    <vt:lpwstr>da92d843-2fce-4e59-930c-3d73cb2f0e93</vt:lpwstr>
  </property>
  <property fmtid="{D5CDD505-2E9C-101B-9397-08002B2CF9AE}" pid="9" name="MSIP_Label_d9544d3e-f761-46b2-881e-fd08f3b12f65_ContentBits">
    <vt:lpwstr>1</vt:lpwstr>
  </property>
</Properties>
</file>