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bor\Desktop\bakalářka\"/>
    </mc:Choice>
  </mc:AlternateContent>
  <xr:revisionPtr revIDLastSave="0" documentId="13_ncr:1_{6C3B33E8-ED85-4109-8510-1B7CA2A29783}" xr6:coauthVersionLast="44" xr6:coauthVersionMax="44" xr10:uidLastSave="{00000000-0000-0000-0000-000000000000}"/>
  <bookViews>
    <workbookView xWindow="-120" yWindow="-120" windowWidth="20730" windowHeight="11160" xr2:uid="{F31B9966-88D2-4566-B526-32B9B466F582}"/>
  </bookViews>
  <sheets>
    <sheet name="Výpočty" sheetId="1" r:id="rId1"/>
    <sheet name="Data1" sheetId="2" r:id="rId2"/>
    <sheet name="Data2" sheetId="4" r:id="rId3"/>
    <sheet name="Data3" sheetId="5" r:id="rId4"/>
    <sheet name="Data4" sheetId="6" r:id="rId5"/>
    <sheet name="Data5" sheetId="8" r:id="rId6"/>
  </sheets>
  <definedNames>
    <definedName name="obrazek">_xlfn.SWITCH(Výpočty!$B$9,6,IF(AND(Výpočty!$B$9=6,Výpočty!$B$10=1),Data4!$A$2,IF(AND(Výpočty!$B$9=6,Výpočty!$B$10=2),Data4!$A$3,IF(AND(Výpočty!$B$9=6,Výpočty!$B$10=3),Data4!$A$4))),8,(IF(AND(Výpočty!$B$9=8,Výpočty!$B$10=1),Data4!$B$2,IF(AND(Výpočty!$B$9=8,Výpočty!$B$10=2),Data4!$B$3,IF(AND(Výpočty!$B$9=8,Výpočty!$B$10=3),Data4!$B$4)))),7,(IF(AND(Výpočty!$B$9=7,Výpočty!$B$10=1),Data4!$C$2,IF(AND(Výpočty!$B$9=7,Výpočty!$B$10=2),Data4!$C$3,IF(AND(Výpočty!$B$9=7,Výpočty!$B$10=3),Data4!$C$4)))))</definedName>
    <definedName name="Obrázek">_xlfn.SWITCH(Výpočty!$B$9,6,IF(AND(Výpočty!$B$9=6,Výpočty!$B$10=1),Data5!$A$1,IF(AND(Výpočty!$B$9=6,Výpočty!$B$10=2),Data5!$A$2,IF(AND(Výpočty!$B$9=6,Výpočty!$B$10=3),Data5!$A$3))),8,(IF(AND(Výpočty!$B$9=8,Výpočty!$B$10=1),Data5!$A$6,IF(AND(Výpočty!$B$9=8,Výpočty!$B$10=2),Data5!$A$7,IF(AND(Výpočty!$B$9=8,Výpočty!$B$10=3),Data5!$A$8)))),7,(IF(AND(Výpočty!$B$9=7,Výpočty!$B$10=1),Data5!$A$4,IF(AND(Výpočty!$B$9=7,Výpočty!$B$10=2),Data5!$A$5,IF(AND(Výpočty!$B$9=7,Výpočty!$B$10=3),Data5!$A$5))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G17" i="2"/>
  <c r="D17" i="2"/>
  <c r="K4" i="1" l="1"/>
  <c r="G4" i="1"/>
  <c r="J20" i="4"/>
  <c r="J19" i="4"/>
  <c r="J15" i="4"/>
  <c r="J14" i="4"/>
  <c r="G15" i="4"/>
  <c r="G14" i="4"/>
  <c r="G19" i="4"/>
  <c r="G20" i="4"/>
  <c r="D19" i="4"/>
  <c r="D20" i="4" s="1"/>
  <c r="D15" i="4"/>
  <c r="D18" i="2"/>
  <c r="D14" i="2"/>
  <c r="D13" i="2"/>
  <c r="B12" i="1" l="1"/>
  <c r="O4" i="1" l="1"/>
  <c r="O5" i="1" s="1"/>
  <c r="D47" i="4" l="1"/>
  <c r="D48" i="4" s="1"/>
  <c r="D43" i="4"/>
  <c r="D44" i="4" s="1"/>
  <c r="G43" i="4"/>
  <c r="G44" i="4" s="1"/>
  <c r="J43" i="4"/>
  <c r="J44" i="4" s="1"/>
  <c r="D14" i="4"/>
  <c r="J17" i="2"/>
  <c r="G5" i="1" l="1"/>
  <c r="N22" i="2"/>
  <c r="N23" i="2" s="1"/>
  <c r="L22" i="2"/>
  <c r="L24" i="2" s="1"/>
  <c r="J22" i="2"/>
  <c r="J23" i="2" s="1"/>
  <c r="F22" i="2"/>
  <c r="F23" i="2" s="1"/>
  <c r="D22" i="2"/>
  <c r="D24" i="2" s="1"/>
  <c r="B22" i="2"/>
  <c r="B23" i="2" s="1"/>
  <c r="J18" i="2"/>
  <c r="G18" i="2"/>
  <c r="K5" i="1" s="1"/>
  <c r="D23" i="2" l="1"/>
  <c r="D28" i="2" s="1"/>
  <c r="D31" i="2" s="1"/>
  <c r="F24" i="2"/>
  <c r="F26" i="2" s="1"/>
  <c r="N24" i="2"/>
  <c r="N26" i="2" s="1"/>
  <c r="B25" i="4"/>
  <c r="L23" i="2"/>
  <c r="L28" i="2" s="1"/>
  <c r="D26" i="2"/>
  <c r="L26" i="2"/>
  <c r="B24" i="2"/>
  <c r="J24" i="2"/>
  <c r="O10" i="1"/>
  <c r="O11" i="1"/>
  <c r="O12" i="1" l="1"/>
  <c r="N28" i="2"/>
  <c r="N31" i="2" s="1"/>
  <c r="F28" i="2"/>
  <c r="F31" i="2" s="1"/>
  <c r="L31" i="2"/>
  <c r="L29" i="2"/>
  <c r="L32" i="2" s="1"/>
  <c r="D23" i="4"/>
  <c r="D25" i="4"/>
  <c r="B23" i="4"/>
  <c r="D29" i="2"/>
  <c r="D32" i="2" s="1"/>
  <c r="J28" i="2"/>
  <c r="J26" i="2"/>
  <c r="B28" i="2"/>
  <c r="B26" i="2"/>
  <c r="N29" i="2"/>
  <c r="N32" i="2" s="1"/>
  <c r="O7" i="1"/>
  <c r="O8" i="1" s="1"/>
  <c r="J13" i="2"/>
  <c r="J14" i="2" s="1"/>
  <c r="G13" i="2"/>
  <c r="G14" i="2" s="1"/>
  <c r="G7" i="1" l="1"/>
  <c r="G8" i="1" s="1"/>
  <c r="O13" i="1" s="1"/>
  <c r="K7" i="1"/>
  <c r="F29" i="2"/>
  <c r="F32" i="2" s="1"/>
  <c r="B28" i="4"/>
  <c r="B26" i="4"/>
  <c r="B29" i="4" s="1"/>
  <c r="D28" i="4"/>
  <c r="D26" i="4"/>
  <c r="D29" i="4" s="1"/>
  <c r="B31" i="2"/>
  <c r="B29" i="2"/>
  <c r="B32" i="2" s="1"/>
  <c r="J31" i="2"/>
  <c r="J29" i="2"/>
  <c r="J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Libor</author>
  </authors>
  <commentList>
    <comment ref="B9" authorId="0" shapeId="0" xr:uid="{964B9A7B-38BC-408B-A866-3C32CECB2F49}">
      <text>
        <r>
          <rPr>
            <b/>
            <sz val="9"/>
            <color indexed="81"/>
            <rFont val="Tahoma"/>
            <charset val="1"/>
          </rPr>
          <t>Vyberte počet kusů ložených na jedné paletě RWP-Steel</t>
        </r>
      </text>
    </comment>
    <comment ref="B10" authorId="0" shapeId="0" xr:uid="{E6C17A0B-70C2-4558-8BFE-A368E098B5EB}">
      <text>
        <r>
          <rPr>
            <b/>
            <sz val="9"/>
            <color indexed="81"/>
            <rFont val="Tahoma"/>
            <charset val="1"/>
          </rPr>
          <t>Vyberte způsob jak jsou kontislitky na paletě RWP-Steel poskládány podle obrázku níže</t>
        </r>
      </text>
    </comment>
    <comment ref="B11" authorId="0" shapeId="0" xr:uid="{EB5CA20C-C96A-4782-9612-44A08363B2CE}">
      <text>
        <r>
          <rPr>
            <b/>
            <sz val="9"/>
            <color indexed="81"/>
            <rFont val="Tahoma"/>
            <family val="2"/>
            <charset val="238"/>
          </rPr>
          <t>Vyberte traťovou třídu, na které chcete kontislitky přepravit</t>
        </r>
      </text>
    </comment>
    <comment ref="O13" authorId="0" shapeId="0" xr:uid="{F2E26028-EE6C-4AC9-9365-762C773FD29C}">
      <text>
        <r>
          <rPr>
            <b/>
            <sz val="9"/>
            <color indexed="81"/>
            <rFont val="Tahoma"/>
            <family val="2"/>
            <charset val="238"/>
          </rPr>
          <t>Tvrzení "NE" znamená, že nebyl splněna alespoň jeden z parametrů ze zadání vlevo, nebo nejsou splněny podmínky určené Nakládací směrnicí UIC</t>
        </r>
      </text>
    </comment>
  </commentList>
</comments>
</file>

<file path=xl/sharedStrings.xml><?xml version="1.0" encoding="utf-8"?>
<sst xmlns="http://schemas.openxmlformats.org/spreadsheetml/2006/main" count="359" uniqueCount="91">
  <si>
    <t>mm</t>
  </si>
  <si>
    <t>kg</t>
  </si>
  <si>
    <t>Počet kusů na paletě</t>
  </si>
  <si>
    <t>ks</t>
  </si>
  <si>
    <t>a</t>
  </si>
  <si>
    <t>b</t>
  </si>
  <si>
    <t>c</t>
  </si>
  <si>
    <t>d</t>
  </si>
  <si>
    <t>e</t>
  </si>
  <si>
    <t>f</t>
  </si>
  <si>
    <t>g</t>
  </si>
  <si>
    <t>h</t>
  </si>
  <si>
    <t>R1</t>
  </si>
  <si>
    <t>Hmotnost vozu</t>
  </si>
  <si>
    <t>R2</t>
  </si>
  <si>
    <t>Ložení</t>
  </si>
  <si>
    <t>Síla na kolo ložení 1</t>
  </si>
  <si>
    <t>470 data</t>
  </si>
  <si>
    <t>kusy</t>
  </si>
  <si>
    <t>Hmotonosti na kolo</t>
  </si>
  <si>
    <t>(typ dle obr.)</t>
  </si>
  <si>
    <t>8 kusů</t>
  </si>
  <si>
    <t>Vůz Sggrrs</t>
  </si>
  <si>
    <t>Hmotnost na podvozek</t>
  </si>
  <si>
    <t>Hmotnost kontislitku</t>
  </si>
  <si>
    <t xml:space="preserve">Sggrss podélně </t>
  </si>
  <si>
    <t>3 palety</t>
  </si>
  <si>
    <t>b (krajní paleta vzdálená)</t>
  </si>
  <si>
    <t>c (střed vozu)</t>
  </si>
  <si>
    <t>d (blízká paleta)</t>
  </si>
  <si>
    <t>a (vzdálenost otočných čepů)</t>
  </si>
  <si>
    <t>Tedy hmotnost na nápravu</t>
  </si>
  <si>
    <t>Obrázky</t>
  </si>
  <si>
    <t>ZA SEBOU</t>
  </si>
  <si>
    <t>STŘÍDAVĚ</t>
  </si>
  <si>
    <t>a´</t>
  </si>
  <si>
    <t>b´</t>
  </si>
  <si>
    <t>c´</t>
  </si>
  <si>
    <t>d´</t>
  </si>
  <si>
    <t>e´</t>
  </si>
  <si>
    <t>f´</t>
  </si>
  <si>
    <t>g´</t>
  </si>
  <si>
    <t>h´</t>
  </si>
  <si>
    <t>Síla na kolo ložení 2</t>
  </si>
  <si>
    <t>Síla na kolo ložení 3</t>
  </si>
  <si>
    <t>Hmotnosti na kolo</t>
  </si>
  <si>
    <t>Výpočet staticky neurčitou úlohou:</t>
  </si>
  <si>
    <t xml:space="preserve">Výslednice </t>
  </si>
  <si>
    <t>Celková tíha</t>
  </si>
  <si>
    <t>Rameno výslednice</t>
  </si>
  <si>
    <t>ložení 1</t>
  </si>
  <si>
    <t>ložení 2</t>
  </si>
  <si>
    <t>ložení 3</t>
  </si>
  <si>
    <t>Vychýlení</t>
  </si>
  <si>
    <t>Reakce N2</t>
  </si>
  <si>
    <t>Reakce N3</t>
  </si>
  <si>
    <t>R2 a R4</t>
  </si>
  <si>
    <t>R1 a R3</t>
  </si>
  <si>
    <t>STŘIDAVĚ</t>
  </si>
  <si>
    <t>Výslednice</t>
  </si>
  <si>
    <t>PALETY ZA SEBOU</t>
  </si>
  <si>
    <t>Výpočet</t>
  </si>
  <si>
    <t>PALETY STŘÍDAVĚ</t>
  </si>
  <si>
    <t>Výpočet PODÉLNÉHO ZATÍŽENÍ PODVOZKŮ</t>
  </si>
  <si>
    <t>za sebou</t>
  </si>
  <si>
    <t>střídavě</t>
  </si>
  <si>
    <t xml:space="preserve">470 data </t>
  </si>
  <si>
    <t>7 kusů</t>
  </si>
  <si>
    <t>KONTISLITEK a VŮZ</t>
  </si>
  <si>
    <t>Počet kusů na vozu</t>
  </si>
  <si>
    <t>3 palety na voze</t>
  </si>
  <si>
    <t>6 kusů</t>
  </si>
  <si>
    <t>Zadání ložení</t>
  </si>
  <si>
    <t>Traťová třída</t>
  </si>
  <si>
    <t>A</t>
  </si>
  <si>
    <t>B</t>
  </si>
  <si>
    <t>C</t>
  </si>
  <si>
    <t>D</t>
  </si>
  <si>
    <t>E</t>
  </si>
  <si>
    <t>Ložení odpovídá traťové třídě:</t>
  </si>
  <si>
    <t>Ložení vyhovuje zadání:</t>
  </si>
  <si>
    <r>
      <t>R</t>
    </r>
    <r>
      <rPr>
        <vertAlign val="subscript"/>
        <sz val="12"/>
        <color theme="1"/>
        <rFont val="Cambria"/>
        <family val="1"/>
        <charset val="238"/>
      </rPr>
      <t>1</t>
    </r>
    <r>
      <rPr>
        <sz val="12"/>
        <color theme="1"/>
        <rFont val="Cambria"/>
        <family val="1"/>
        <charset val="238"/>
      </rPr>
      <t>=</t>
    </r>
  </si>
  <si>
    <r>
      <rPr>
        <sz val="12"/>
        <color theme="1"/>
        <rFont val="Cambria"/>
        <family val="1"/>
        <charset val="238"/>
      </rPr>
      <t>R</t>
    </r>
    <r>
      <rPr>
        <vertAlign val="subscript"/>
        <sz val="12"/>
        <color theme="1"/>
        <rFont val="Cambria"/>
        <family val="1"/>
        <charset val="238"/>
      </rPr>
      <t>2</t>
    </r>
    <r>
      <rPr>
        <sz val="12"/>
        <color theme="1"/>
        <rFont val="Cambria"/>
        <family val="1"/>
        <charset val="238"/>
      </rPr>
      <t>=</t>
    </r>
  </si>
  <si>
    <r>
      <rPr>
        <sz val="12"/>
        <color theme="1"/>
        <rFont val="Cambria"/>
        <family val="1"/>
        <charset val="238"/>
      </rPr>
      <t>R</t>
    </r>
    <r>
      <rPr>
        <vertAlign val="subscript"/>
        <sz val="12"/>
        <color theme="1"/>
        <rFont val="Cambria"/>
        <family val="1"/>
        <charset val="238"/>
      </rPr>
      <t>1</t>
    </r>
    <r>
      <rPr>
        <sz val="12"/>
        <color theme="1"/>
        <rFont val="Cambria"/>
        <family val="1"/>
        <charset val="238"/>
      </rPr>
      <t>/R</t>
    </r>
    <r>
      <rPr>
        <vertAlign val="subscript"/>
        <sz val="12"/>
        <color theme="1"/>
        <rFont val="Cambria"/>
        <family val="1"/>
        <charset val="238"/>
      </rPr>
      <t>2</t>
    </r>
    <r>
      <rPr>
        <sz val="12"/>
        <color theme="1"/>
        <rFont val="Cambria"/>
        <family val="1"/>
        <charset val="238"/>
      </rPr>
      <t>=</t>
    </r>
  </si>
  <si>
    <r>
      <t>E</t>
    </r>
    <r>
      <rPr>
        <vertAlign val="subscript"/>
        <sz val="12"/>
        <color theme="1"/>
        <rFont val="Cambria"/>
        <family val="1"/>
        <charset val="238"/>
      </rPr>
      <t>1</t>
    </r>
    <r>
      <rPr>
        <sz val="12"/>
        <color theme="1"/>
        <rFont val="Cambria"/>
        <family val="1"/>
        <charset val="238"/>
      </rPr>
      <t>=</t>
    </r>
  </si>
  <si>
    <r>
      <rPr>
        <sz val="12"/>
        <color theme="1"/>
        <rFont val="Cambria"/>
        <family val="1"/>
        <charset val="238"/>
      </rPr>
      <t>E</t>
    </r>
    <r>
      <rPr>
        <vertAlign val="subscript"/>
        <sz val="12"/>
        <color theme="1"/>
        <rFont val="Cambria"/>
        <family val="1"/>
        <charset val="238"/>
      </rPr>
      <t>2</t>
    </r>
    <r>
      <rPr>
        <sz val="12"/>
        <color theme="1"/>
        <rFont val="Cambria"/>
        <family val="1"/>
        <charset val="238"/>
      </rPr>
      <t>=</t>
    </r>
  </si>
  <si>
    <r>
      <rPr>
        <sz val="12"/>
        <color theme="1"/>
        <rFont val="Cambria"/>
        <family val="1"/>
        <charset val="238"/>
      </rPr>
      <t>E</t>
    </r>
    <r>
      <rPr>
        <vertAlign val="subscript"/>
        <sz val="12"/>
        <color theme="1"/>
        <rFont val="Cambria"/>
        <family val="1"/>
        <charset val="238"/>
      </rPr>
      <t>1</t>
    </r>
    <r>
      <rPr>
        <sz val="12"/>
        <color theme="1"/>
        <rFont val="Cambria"/>
        <family val="1"/>
        <charset val="238"/>
      </rPr>
      <t>/E</t>
    </r>
    <r>
      <rPr>
        <vertAlign val="subscript"/>
        <sz val="12"/>
        <color theme="1"/>
        <rFont val="Cambria"/>
        <family val="1"/>
        <charset val="238"/>
      </rPr>
      <t>2</t>
    </r>
    <r>
      <rPr>
        <sz val="12"/>
        <color theme="1"/>
        <rFont val="Cambria"/>
        <family val="1"/>
        <charset val="238"/>
      </rPr>
      <t>=</t>
    </r>
  </si>
  <si>
    <r>
      <rPr>
        <sz val="12"/>
        <color theme="1"/>
        <rFont val="Cambria"/>
        <family val="1"/>
        <charset val="238"/>
      </rPr>
      <t>N</t>
    </r>
    <r>
      <rPr>
        <vertAlign val="subscript"/>
        <sz val="12"/>
        <color theme="1"/>
        <rFont val="Cambria"/>
        <family val="1"/>
        <charset val="238"/>
      </rPr>
      <t>1</t>
    </r>
    <r>
      <rPr>
        <sz val="12"/>
        <color theme="1"/>
        <rFont val="Cambria"/>
        <family val="1"/>
        <charset val="238"/>
      </rPr>
      <t>=</t>
    </r>
  </si>
  <si>
    <r>
      <t>N</t>
    </r>
    <r>
      <rPr>
        <vertAlign val="subscript"/>
        <sz val="12"/>
        <color theme="1"/>
        <rFont val="Cambria"/>
        <family val="1"/>
        <charset val="238"/>
      </rPr>
      <t>2</t>
    </r>
    <r>
      <rPr>
        <sz val="12"/>
        <color theme="1"/>
        <rFont val="Cambria"/>
        <family val="1"/>
        <charset val="238"/>
      </rPr>
      <t>=</t>
    </r>
  </si>
  <si>
    <t>Průměr kontislitku</t>
  </si>
  <si>
    <t>Délka kontislitku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</si>
</sst>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8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6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vertAlign val="subscript"/>
      <sz val="12"/>
      <color theme="1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164" fontId="0" fillId="0" borderId="0" xfId="0" applyNumberFormat="1" applyProtection="1">
      <protection hidden="1"/>
    </xf>
    <xf numFmtId="164" fontId="0" fillId="0" borderId="0" xfId="0" applyNumberFormat="1" applyFill="1"/>
    <xf numFmtId="164" fontId="0" fillId="0" borderId="0" xfId="0" applyNumberFormat="1" applyAlignment="1">
      <alignment horizontal="left"/>
    </xf>
    <xf numFmtId="0" fontId="0" fillId="0" borderId="0" xfId="0" applyNumberFormat="1"/>
    <xf numFmtId="0" fontId="3" fillId="6" borderId="1" xfId="0" applyFont="1" applyFill="1" applyBorder="1" applyAlignment="1" applyProtection="1">
      <alignment vertical="center"/>
      <protection hidden="1"/>
    </xf>
    <xf numFmtId="0" fontId="3" fillId="6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6" borderId="0" xfId="0" applyFont="1" applyFill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/>
      <protection hidden="1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3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3" fontId="3" fillId="0" borderId="1" xfId="0" applyNumberFormat="1" applyFont="1" applyBorder="1" applyAlignment="1" applyProtection="1">
      <alignment vertical="center"/>
      <protection hidden="1"/>
    </xf>
  </cellXfs>
  <cellStyles count="1">
    <cellStyle name="Normální" xfId="0" builtinId="0"/>
  </cellStyles>
  <dxfs count="17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95D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Relationship Id="rId9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216695</xdr:colOff>
          <xdr:row>13</xdr:row>
          <xdr:rowOff>526258</xdr:rowOff>
        </xdr:from>
        <xdr:to>
          <xdr:col>5</xdr:col>
          <xdr:colOff>1350170</xdr:colOff>
          <xdr:row>13</xdr:row>
          <xdr:rowOff>2559844</xdr:rowOff>
        </xdr:to>
        <xdr:pic>
          <xdr:nvPicPr>
            <xdr:cNvPr id="15" name="Obrázek 14">
              <a:extLst>
                <a:ext uri="{FF2B5EF4-FFF2-40B4-BE49-F238E27FC236}">
                  <a16:creationId xmlns:a16="http://schemas.microsoft.com/office/drawing/2014/main" id="{570C81EB-3CB0-44BF-939D-54B6D1F903E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brazek" spid="_x0000_s227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16695" y="3002758"/>
              <a:ext cx="4431506" cy="2033586"/>
            </a:xfrm>
            <a:prstGeom prst="rect">
              <a:avLst/>
            </a:prstGeom>
            <a:noFill/>
            <a:ln w="57150">
              <a:solidFill>
                <a:sysClr val="windowText" lastClr="000000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0</xdr:col>
      <xdr:colOff>547687</xdr:colOff>
      <xdr:row>13</xdr:row>
      <xdr:rowOff>166687</xdr:rowOff>
    </xdr:from>
    <xdr:ext cx="3785460" cy="332912"/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45F9F204-6F54-472D-A64B-9C906796314A}"/>
            </a:ext>
          </a:extLst>
        </xdr:cNvPr>
        <xdr:cNvSpPr txBox="1"/>
      </xdr:nvSpPr>
      <xdr:spPr>
        <a:xfrm>
          <a:off x="547687" y="2505604"/>
          <a:ext cx="3785460" cy="332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600" b="1">
              <a:latin typeface="Cambria" panose="02040503050406030204" pitchFamily="18" charset="0"/>
              <a:ea typeface="Cambria" panose="02040503050406030204" pitchFamily="18" charset="0"/>
            </a:rPr>
            <a:t>Obrázek ložení - příčný pohled na vůz: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11</xdr:col>
          <xdr:colOff>9525</xdr:colOff>
          <xdr:row>13</xdr:row>
          <xdr:rowOff>9525</xdr:rowOff>
        </xdr:to>
        <xdr:pic>
          <xdr:nvPicPr>
            <xdr:cNvPr id="13" name="Obrázek 12">
              <a:extLst>
                <a:ext uri="{FF2B5EF4-FFF2-40B4-BE49-F238E27FC236}">
                  <a16:creationId xmlns:a16="http://schemas.microsoft.com/office/drawing/2014/main" id="{0EEAE97F-52B8-4F58-AF77-2BD16E8AD4D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brázek" spid="_x0000_s227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305175" y="1800225"/>
              <a:ext cx="5762625" cy="809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4</xdr:col>
      <xdr:colOff>914</xdr:colOff>
      <xdr:row>7</xdr:row>
      <xdr:rowOff>79478</xdr:rowOff>
    </xdr:from>
    <xdr:ext cx="1632991" cy="578115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8A4D2ECE-EF57-44D9-87B8-BB34C5C3BEF9}"/>
            </a:ext>
          </a:extLst>
        </xdr:cNvPr>
        <xdr:cNvSpPr txBox="1"/>
      </xdr:nvSpPr>
      <xdr:spPr>
        <a:xfrm>
          <a:off x="3129510" y="1464266"/>
          <a:ext cx="1632991" cy="5781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800" b="1">
              <a:latin typeface="Cambria" panose="02040503050406030204" pitchFamily="18" charset="0"/>
              <a:ea typeface="Cambria" panose="02040503050406030204" pitchFamily="18" charset="0"/>
            </a:rPr>
            <a:t>Půdorysný pohled na vůz</a:t>
          </a:r>
        </a:p>
      </xdr:txBody>
    </xdr:sp>
    <xdr:clientData/>
  </xdr:oneCellAnchor>
  <xdr:oneCellAnchor>
    <xdr:from>
      <xdr:col>5</xdr:col>
      <xdr:colOff>21429</xdr:colOff>
      <xdr:row>8</xdr:row>
      <xdr:rowOff>25908</xdr:rowOff>
    </xdr:from>
    <xdr:ext cx="1632991" cy="578115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898A4B90-49BB-4E26-8050-ED9734A27883}"/>
            </a:ext>
          </a:extLst>
        </xdr:cNvPr>
        <xdr:cNvSpPr txBox="1"/>
      </xdr:nvSpPr>
      <xdr:spPr>
        <a:xfrm>
          <a:off x="3323429" y="1634575"/>
          <a:ext cx="1632991" cy="5781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800" b="1">
              <a:latin typeface="Cambria" panose="02040503050406030204" pitchFamily="18" charset="0"/>
              <a:ea typeface="Cambria" panose="02040503050406030204" pitchFamily="18" charset="0"/>
            </a:rPr>
            <a:t>palety za sebou:</a:t>
          </a:r>
        </a:p>
      </xdr:txBody>
    </xdr:sp>
    <xdr:clientData/>
  </xdr:oneCellAnchor>
  <xdr:oneCellAnchor>
    <xdr:from>
      <xdr:col>7</xdr:col>
      <xdr:colOff>314344</xdr:colOff>
      <xdr:row>7</xdr:row>
      <xdr:rowOff>77850</xdr:rowOff>
    </xdr:from>
    <xdr:ext cx="1632991" cy="578115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B2DF8AE0-5CC9-42D5-B723-14864225CC1D}"/>
            </a:ext>
          </a:extLst>
        </xdr:cNvPr>
        <xdr:cNvSpPr txBox="1"/>
      </xdr:nvSpPr>
      <xdr:spPr>
        <a:xfrm>
          <a:off x="6251594" y="1485433"/>
          <a:ext cx="1632991" cy="5781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800" b="1">
              <a:latin typeface="Cambria" panose="02040503050406030204" pitchFamily="18" charset="0"/>
              <a:ea typeface="Cambria" panose="02040503050406030204" pitchFamily="18" charset="0"/>
            </a:rPr>
            <a:t>Půdorysný pohled na vůz</a:t>
          </a:r>
        </a:p>
      </xdr:txBody>
    </xdr:sp>
    <xdr:clientData/>
  </xdr:oneCellAnchor>
  <xdr:oneCellAnchor>
    <xdr:from>
      <xdr:col>9</xdr:col>
      <xdr:colOff>62948</xdr:colOff>
      <xdr:row>8</xdr:row>
      <xdr:rowOff>31606</xdr:rowOff>
    </xdr:from>
    <xdr:ext cx="1632991" cy="578115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CDB9E220-E172-487B-B562-C1C61C70204D}"/>
            </a:ext>
          </a:extLst>
        </xdr:cNvPr>
        <xdr:cNvSpPr txBox="1"/>
      </xdr:nvSpPr>
      <xdr:spPr>
        <a:xfrm>
          <a:off x="6497615" y="1640273"/>
          <a:ext cx="1632991" cy="5781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800" b="1">
              <a:latin typeface="Cambria" panose="02040503050406030204" pitchFamily="18" charset="0"/>
              <a:ea typeface="Cambria" panose="02040503050406030204" pitchFamily="18" charset="0"/>
            </a:rPr>
            <a:t>palety střídavě:</a:t>
          </a:r>
        </a:p>
      </xdr:txBody>
    </xdr:sp>
    <xdr:clientData/>
  </xdr:oneCellAnchor>
  <xdr:twoCellAnchor editAs="oneCell">
    <xdr:from>
      <xdr:col>6</xdr:col>
      <xdr:colOff>719667</xdr:colOff>
      <xdr:row>13</xdr:row>
      <xdr:rowOff>793750</xdr:rowOff>
    </xdr:from>
    <xdr:to>
      <xdr:col>11</xdr:col>
      <xdr:colOff>252453</xdr:colOff>
      <xdr:row>13</xdr:row>
      <xdr:rowOff>2279464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D3E1E43-C994-4705-8859-8F235EA01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8084" y="3407833"/>
          <a:ext cx="3914286" cy="14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15882</xdr:colOff>
      <xdr:row>2</xdr:row>
      <xdr:rowOff>3019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4F0014A-AA9C-4426-98C5-46E3AE9A7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0063" y="190500"/>
          <a:ext cx="4337850" cy="20628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</xdr:row>
      <xdr:rowOff>0</xdr:rowOff>
    </xdr:from>
    <xdr:to>
      <xdr:col>1</xdr:col>
      <xdr:colOff>4296952</xdr:colOff>
      <xdr:row>2</xdr:row>
      <xdr:rowOff>2062800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62616C6-2DE0-48D7-BBF6-CA4F0E319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0064" y="2250281"/>
          <a:ext cx="4296951" cy="20628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</xdr:row>
      <xdr:rowOff>0</xdr:rowOff>
    </xdr:from>
    <xdr:to>
      <xdr:col>2</xdr:col>
      <xdr:colOff>9250</xdr:colOff>
      <xdr:row>3</xdr:row>
      <xdr:rowOff>2062800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5C3C1B5F-2E34-4CBB-AC20-35CA2F2B5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0064" y="4321969"/>
          <a:ext cx="4331217" cy="20628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1</xdr:row>
      <xdr:rowOff>0</xdr:rowOff>
    </xdr:from>
    <xdr:to>
      <xdr:col>2</xdr:col>
      <xdr:colOff>4296406</xdr:colOff>
      <xdr:row>2</xdr:row>
      <xdr:rowOff>3019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6986A265-16A1-4E45-92C2-074B860FD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2032" y="190500"/>
          <a:ext cx="4296405" cy="20628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2</xdr:row>
      <xdr:rowOff>0</xdr:rowOff>
    </xdr:from>
    <xdr:to>
      <xdr:col>2</xdr:col>
      <xdr:colOff>4323948</xdr:colOff>
      <xdr:row>2</xdr:row>
      <xdr:rowOff>2062800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56A8A93-1D90-45EE-981B-0B8DD9A8A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2032" y="2250281"/>
          <a:ext cx="4323947" cy="2062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4316722</xdr:colOff>
      <xdr:row>2</xdr:row>
      <xdr:rowOff>2062800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5C525532-316F-40C0-A3B5-23FF1F568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2031" y="2250281"/>
          <a:ext cx="4316722" cy="2062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4316722</xdr:colOff>
      <xdr:row>3</xdr:row>
      <xdr:rowOff>2062800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B5044FF-7AC4-4E64-BBEF-69E394E9E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2031" y="4321969"/>
          <a:ext cx="4316722" cy="20628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0</xdr:rowOff>
    </xdr:from>
    <xdr:to>
      <xdr:col>1</xdr:col>
      <xdr:colOff>13251</xdr:colOff>
      <xdr:row>2</xdr:row>
      <xdr:rowOff>3019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328DE4CB-1F64-4A3C-960D-A63A54468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0"/>
          <a:ext cx="4323313" cy="2062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20495</xdr:colOff>
      <xdr:row>2</xdr:row>
      <xdr:rowOff>2062800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6E27A6A6-9121-439C-B651-B49804A24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50281"/>
          <a:ext cx="4330558" cy="20628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0</xdr:rowOff>
    </xdr:from>
    <xdr:to>
      <xdr:col>1</xdr:col>
      <xdr:colOff>41053</xdr:colOff>
      <xdr:row>3</xdr:row>
      <xdr:rowOff>2062800</xdr:rowOff>
    </xdr:to>
    <xdr:pic>
      <xdr:nvPicPr>
        <xdr:cNvPr id="30" name="Obrázek 29">
          <a:extLst>
            <a:ext uri="{FF2B5EF4-FFF2-40B4-BE49-F238E27FC236}">
              <a16:creationId xmlns:a16="http://schemas.microsoft.com/office/drawing/2014/main" id="{67ADDFC9-4A6B-41FA-B915-35BC74027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321969"/>
          <a:ext cx="4351115" cy="206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41124</xdr:colOff>
      <xdr:row>1</xdr:row>
      <xdr:rowOff>28575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8FABCC7-4915-420D-B45E-ABEF825A2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089499" cy="82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800099</xdr:rowOff>
    </xdr:from>
    <xdr:to>
      <xdr:col>1</xdr:col>
      <xdr:colOff>5011</xdr:colOff>
      <xdr:row>2</xdr:row>
      <xdr:rowOff>47624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3CDC1915-CC60-4671-B3D9-1A507679F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0099"/>
          <a:ext cx="6053386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</xdr:row>
      <xdr:rowOff>0</xdr:rowOff>
    </xdr:from>
    <xdr:to>
      <xdr:col>1</xdr:col>
      <xdr:colOff>28575</xdr:colOff>
      <xdr:row>3</xdr:row>
      <xdr:rowOff>30291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C751A6D4-FE7B-4D7C-920E-00A307511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600200"/>
          <a:ext cx="6076949" cy="8303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28575</xdr:colOff>
      <xdr:row>4</xdr:row>
      <xdr:rowOff>75233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B1628D0B-68F4-476C-8933-82BE92651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00300"/>
          <a:ext cx="6076950" cy="875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5</xdr:row>
      <xdr:rowOff>57647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7C9FCB30-BAD6-4B6C-9F52-0FDD2B1BD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00400"/>
          <a:ext cx="6048375" cy="85774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</xdr:row>
      <xdr:rowOff>0</xdr:rowOff>
    </xdr:from>
    <xdr:to>
      <xdr:col>1</xdr:col>
      <xdr:colOff>9526</xdr:colOff>
      <xdr:row>6</xdr:row>
      <xdr:rowOff>27413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BF9FACF7-43DC-4B9E-8346-585C39AB1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000500"/>
          <a:ext cx="6057900" cy="82751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</xdr:row>
      <xdr:rowOff>0</xdr:rowOff>
    </xdr:from>
    <xdr:to>
      <xdr:col>0</xdr:col>
      <xdr:colOff>6047999</xdr:colOff>
      <xdr:row>7</xdr:row>
      <xdr:rowOff>0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027F9A83-AF68-4C28-9B8F-3C03C0F7C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800600"/>
          <a:ext cx="6047998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19050</xdr:colOff>
      <xdr:row>8</xdr:row>
      <xdr:rowOff>20675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A394513C-1EAA-484D-84FA-F2A43B6A2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00700"/>
          <a:ext cx="6067425" cy="820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4AE23-8BCD-45DF-BA28-FE76DE1DBCBE}">
  <dimension ref="A1:V70"/>
  <sheetViews>
    <sheetView tabSelected="1" zoomScale="90" zoomScaleNormal="90" workbookViewId="0">
      <selection activeCell="B9" sqref="B9"/>
    </sheetView>
  </sheetViews>
  <sheetFormatPr defaultRowHeight="14.25" x14ac:dyDescent="0.25"/>
  <cols>
    <col min="1" max="1" width="21.42578125" style="10" customWidth="1"/>
    <col min="2" max="2" width="8.42578125" style="10" customWidth="1"/>
    <col min="3" max="3" width="14.28515625" style="10" customWidth="1"/>
    <col min="4" max="5" width="2.7109375" style="10" customWidth="1"/>
    <col min="6" max="6" width="20.7109375" style="10" customWidth="1"/>
    <col min="7" max="7" width="18.7109375" style="15" customWidth="1"/>
    <col min="8" max="8" width="4.7109375" style="10" customWidth="1"/>
    <col min="9" max="9" width="2.7109375" style="10" customWidth="1"/>
    <col min="10" max="10" width="20.7109375" style="10" customWidth="1"/>
    <col min="11" max="11" width="18.7109375" style="15" customWidth="1"/>
    <col min="12" max="12" width="4.7109375" style="10" customWidth="1"/>
    <col min="13" max="13" width="2.7109375" style="10" customWidth="1"/>
    <col min="14" max="14" width="30.7109375" style="10" customWidth="1"/>
    <col min="15" max="15" width="18.7109375" style="10" customWidth="1"/>
    <col min="16" max="16" width="4.7109375" style="10" customWidth="1"/>
    <col min="17" max="17" width="10.28515625" style="10" customWidth="1"/>
    <col min="18" max="16384" width="9.140625" style="10"/>
  </cols>
  <sheetData>
    <row r="1" spans="1:22" ht="15.75" customHeight="1" x14ac:dyDescent="0.25">
      <c r="A1" s="8" t="s">
        <v>22</v>
      </c>
      <c r="B1" s="29" t="s">
        <v>70</v>
      </c>
      <c r="C1" s="29"/>
      <c r="D1" s="7"/>
      <c r="E1" s="7"/>
      <c r="F1" s="9" t="s">
        <v>61</v>
      </c>
      <c r="G1" s="9" t="s">
        <v>60</v>
      </c>
      <c r="H1" s="7"/>
      <c r="I1" s="7"/>
      <c r="J1" s="9" t="s">
        <v>61</v>
      </c>
      <c r="K1" s="9" t="s">
        <v>62</v>
      </c>
      <c r="L1" s="7"/>
      <c r="M1" s="7"/>
      <c r="N1" s="27" t="s">
        <v>63</v>
      </c>
      <c r="O1" s="27"/>
      <c r="P1" s="7"/>
      <c r="Q1" s="7"/>
      <c r="R1" s="7"/>
      <c r="S1" s="7"/>
      <c r="T1" s="7"/>
      <c r="U1" s="7"/>
      <c r="V1" s="7"/>
    </row>
    <row r="2" spans="1:22" ht="15.75" customHeight="1" x14ac:dyDescent="0.25">
      <c r="A2" s="7"/>
      <c r="B2" s="7"/>
      <c r="C2" s="7"/>
      <c r="D2" s="7"/>
      <c r="E2" s="7"/>
      <c r="F2" s="7"/>
      <c r="G2" s="11"/>
      <c r="H2" s="7"/>
      <c r="I2" s="7"/>
      <c r="J2" s="12"/>
      <c r="K2" s="13"/>
      <c r="L2" s="7"/>
      <c r="M2" s="7"/>
      <c r="N2" s="7"/>
      <c r="O2" s="11"/>
      <c r="P2" s="7"/>
      <c r="Q2" s="7"/>
      <c r="R2" s="7"/>
      <c r="S2" s="7"/>
      <c r="T2" s="7"/>
      <c r="U2" s="7"/>
      <c r="V2" s="7"/>
    </row>
    <row r="3" spans="1:22" ht="15.75" customHeight="1" x14ac:dyDescent="0.25">
      <c r="A3" s="27" t="s">
        <v>68</v>
      </c>
      <c r="B3" s="27"/>
      <c r="C3" s="27"/>
      <c r="D3" s="7"/>
      <c r="E3" s="7"/>
      <c r="F3" s="14" t="s">
        <v>19</v>
      </c>
      <c r="H3" s="7"/>
      <c r="I3" s="7"/>
      <c r="J3" s="14" t="s">
        <v>45</v>
      </c>
      <c r="K3" s="11"/>
      <c r="L3" s="7"/>
      <c r="M3" s="12"/>
      <c r="N3" s="14" t="s">
        <v>23</v>
      </c>
      <c r="O3" s="15"/>
      <c r="P3" s="7"/>
      <c r="Q3" s="7"/>
      <c r="R3" s="7"/>
      <c r="S3" s="7"/>
      <c r="T3" s="7"/>
      <c r="U3" s="7"/>
      <c r="V3" s="7"/>
    </row>
    <row r="4" spans="1:22" ht="15.75" customHeight="1" x14ac:dyDescent="0.25">
      <c r="A4" s="16" t="s">
        <v>89</v>
      </c>
      <c r="B4" s="16">
        <v>470</v>
      </c>
      <c r="C4" s="16" t="s">
        <v>0</v>
      </c>
      <c r="D4" s="7"/>
      <c r="E4" s="7"/>
      <c r="F4" s="25" t="s">
        <v>81</v>
      </c>
      <c r="G4" s="36">
        <f>_xlfn.SWITCH(B9,8,IF(AND(B9=8,B10=1),Data1!D13,IF(AND(B9=8,B10=2),Data1!G13,IF(AND(B9=8,B10=3),Data1!J13,))),6,(IF(AND(B9=6,B10=1),Data2!D14,IF(AND(B9=6,B10=2),Data2!G14,IF(AND(B9=6,B10=3),Data2!J14)))),7,(IF(AND(B9=7,B10=1),Data2!D43,IF(AND(B9=7,B10=2),Data2!G43,IF(AND(B9=7,B10=3),Data2!J43)))))</f>
        <v>10113.189000000002</v>
      </c>
      <c r="H4" s="16" t="s">
        <v>1</v>
      </c>
      <c r="I4" s="7"/>
      <c r="J4" s="25" t="s">
        <v>81</v>
      </c>
      <c r="K4" s="36">
        <f>_xlfn.SWITCH(B9,8,IF(AND(B9=8,B10=1),Data1!D17,IF(AND(B9=8,B10=2),Data1!G17,IF(AND(B9=8,B10=3),Data1!J17,))),6,(IF(AND(B9=6,B10=1),Data2!D19,IF(AND(B9=6,B10=2),Data2!G19,IF(AND(B9=6,B10=3),Data2!J19)))),7,(IF(AND(B9=7,B10=1),Data2!D47,IF(AND(B9=7,B10=2),Data2!G43,IF(AND(B9=7,B10=3),Data2!J43)))))</f>
        <v>9991.0630000000019</v>
      </c>
      <c r="L4" s="16" t="s">
        <v>1</v>
      </c>
      <c r="M4" s="12"/>
      <c r="N4" s="25" t="s">
        <v>84</v>
      </c>
      <c r="O4" s="36">
        <f>((B9*B6)*(Data3!B4+Data3!B5+Data3!B6)+$B$7*Data3!B5)/Data3!B3</f>
        <v>39720</v>
      </c>
      <c r="P4" s="16" t="s">
        <v>1</v>
      </c>
      <c r="Q4" s="7"/>
      <c r="R4" s="7"/>
      <c r="S4" s="7"/>
      <c r="T4" s="7"/>
      <c r="U4" s="7"/>
      <c r="V4" s="7"/>
    </row>
    <row r="5" spans="1:22" ht="15.75" customHeight="1" x14ac:dyDescent="0.25">
      <c r="A5" s="16" t="s">
        <v>90</v>
      </c>
      <c r="B5" s="38">
        <v>2500</v>
      </c>
      <c r="C5" s="16" t="s">
        <v>0</v>
      </c>
      <c r="D5" s="7"/>
      <c r="E5" s="7"/>
      <c r="F5" s="25" t="s">
        <v>82</v>
      </c>
      <c r="G5" s="36">
        <f>_xlfn.SWITCH(B9,8,IF(AND(B9=8,B10=1),Data1!D14,IF(AND(B9=8,B10=2),Data1!G14,IF(AND(B9=8,B10=3),Data1!J14))),6,(IF(AND(B9=6,B10=1),Data2!D15,IF(AND(B9=6,B10=2),Data2!G15,IF(AND(B9=6,B10=3),Data2!J15)))),7,(IF(AND(B9=7,B10=1),Data2!D44,IF(AND(B9=7,B10=2),Data2!G44,IF(AND(B9=7,B10=3),Data2!J44)))))</f>
        <v>9746.8109999999979</v>
      </c>
      <c r="H5" s="16" t="s">
        <v>1</v>
      </c>
      <c r="I5" s="7"/>
      <c r="J5" s="25" t="s">
        <v>82</v>
      </c>
      <c r="K5" s="36">
        <f>_xlfn.SWITCH(B9,8,IF(AND(B9=8,B10=1),Data1!D18,IF(AND(B9=8,B10=2),Data1!G18,IF(AND(B9=8,B10=3),Data1!J18))),6,(IF(AND(B9=6,B10=1),Data2!D20,IF(AND(B9=6,B10=2),Data2!G20,IF(AND(B9=6,B10=3),Data2!J20)))),7,(IF(AND(B9=7,B10=1),Data2!D48,IF(AND(B9=7,B10=2),Data2!G44,IF(AND(B9=7,B10=3),Data2!J44)))))</f>
        <v>9868.9369999999981</v>
      </c>
      <c r="L5" s="16" t="s">
        <v>1</v>
      </c>
      <c r="M5" s="12"/>
      <c r="N5" s="25" t="s">
        <v>85</v>
      </c>
      <c r="O5" s="36">
        <f>3*B9*$B$6-O4+$B$7</f>
        <v>39720</v>
      </c>
      <c r="P5" s="16" t="s">
        <v>1</v>
      </c>
      <c r="Q5" s="7"/>
      <c r="R5" s="7"/>
      <c r="S5" s="7"/>
      <c r="T5" s="7"/>
      <c r="U5" s="7"/>
      <c r="V5" s="7"/>
    </row>
    <row r="6" spans="1:22" ht="15.75" customHeight="1" x14ac:dyDescent="0.25">
      <c r="A6" s="16" t="s">
        <v>24</v>
      </c>
      <c r="B6" s="38">
        <v>3405</v>
      </c>
      <c r="C6" s="16" t="s">
        <v>1</v>
      </c>
      <c r="D6" s="7"/>
      <c r="E6" s="7"/>
      <c r="F6" s="7"/>
      <c r="G6" s="11"/>
      <c r="H6" s="7"/>
      <c r="I6" s="7"/>
      <c r="J6" s="7"/>
      <c r="K6" s="11"/>
      <c r="L6" s="7"/>
      <c r="M6" s="7"/>
      <c r="N6" s="7"/>
      <c r="O6" s="11"/>
      <c r="P6" s="7"/>
      <c r="Q6" s="7"/>
      <c r="R6" s="7"/>
      <c r="S6" s="7"/>
      <c r="T6" s="7"/>
      <c r="U6" s="7"/>
      <c r="V6" s="7"/>
    </row>
    <row r="7" spans="1:22" ht="15.75" customHeight="1" x14ac:dyDescent="0.25">
      <c r="A7" s="16" t="s">
        <v>13</v>
      </c>
      <c r="B7" s="38">
        <v>18150</v>
      </c>
      <c r="C7" s="16" t="s">
        <v>1</v>
      </c>
      <c r="D7" s="7"/>
      <c r="E7" s="7"/>
      <c r="F7" s="25" t="s">
        <v>83</v>
      </c>
      <c r="G7" s="37">
        <f>IF(G4&gt;=G5,G4/G5,G5/G4)</f>
        <v>1.0375895254355505</v>
      </c>
      <c r="H7" s="7"/>
      <c r="I7" s="7"/>
      <c r="J7" s="25" t="s">
        <v>83</v>
      </c>
      <c r="K7" s="37">
        <f>IF(K4&gt;=K5,K4/K5,K5/K4)</f>
        <v>1.0123747876797677</v>
      </c>
      <c r="L7" s="7"/>
      <c r="M7" s="7"/>
      <c r="N7" s="25" t="s">
        <v>86</v>
      </c>
      <c r="O7" s="17">
        <f>O4/O5</f>
        <v>1</v>
      </c>
      <c r="P7" s="7"/>
      <c r="Q7" s="7"/>
      <c r="R7" s="7"/>
      <c r="S7" s="7"/>
      <c r="T7" s="7"/>
      <c r="U7" s="7"/>
      <c r="V7" s="7"/>
    </row>
    <row r="8" spans="1:22" ht="15.75" customHeight="1" x14ac:dyDescent="0.25">
      <c r="A8" s="30" t="s">
        <v>72</v>
      </c>
      <c r="B8" s="31"/>
      <c r="C8" s="31"/>
      <c r="D8" s="7"/>
      <c r="E8" s="7"/>
      <c r="F8" s="7"/>
      <c r="G8" s="19" t="str">
        <f>IF(G7&lt;=(10/8),"VYHOVUJE","NEVYHOVUJE")</f>
        <v>VYHOVUJE</v>
      </c>
      <c r="H8" s="7"/>
      <c r="I8" s="7"/>
      <c r="J8" s="7"/>
      <c r="K8" s="19" t="str">
        <f>IF(G20&lt;=(10/8),"VYHOVUJE","NEVYHOVUJE")</f>
        <v>VYHOVUJE</v>
      </c>
      <c r="L8" s="7"/>
      <c r="M8" s="7"/>
      <c r="O8" s="19" t="str">
        <f>IF(O7&lt;=(3/1),"VYHOVUJE","NEVYHOVUJE")</f>
        <v>VYHOVUJE</v>
      </c>
      <c r="P8" s="7"/>
      <c r="Q8" s="7"/>
      <c r="R8" s="7"/>
      <c r="S8" s="7"/>
      <c r="T8" s="7"/>
      <c r="U8" s="7"/>
      <c r="V8" s="7"/>
    </row>
    <row r="9" spans="1:22" ht="15.75" customHeight="1" x14ac:dyDescent="0.25">
      <c r="A9" s="16" t="s">
        <v>2</v>
      </c>
      <c r="B9" s="20">
        <v>6</v>
      </c>
      <c r="C9" s="16" t="s">
        <v>3</v>
      </c>
      <c r="D9" s="7"/>
      <c r="E9" s="7"/>
      <c r="F9" s="7"/>
      <c r="G9" s="11"/>
      <c r="H9" s="7"/>
      <c r="I9" s="7"/>
      <c r="J9" s="12"/>
      <c r="K9" s="13"/>
      <c r="L9" s="12"/>
      <c r="M9" s="7"/>
      <c r="N9" s="16" t="s">
        <v>31</v>
      </c>
      <c r="O9" s="11"/>
      <c r="P9" s="7"/>
      <c r="Q9" s="7"/>
      <c r="R9" s="7"/>
      <c r="S9" s="7"/>
      <c r="T9" s="7"/>
      <c r="U9" s="7"/>
      <c r="V9" s="7"/>
    </row>
    <row r="10" spans="1:22" ht="15.75" customHeight="1" x14ac:dyDescent="0.25">
      <c r="A10" s="16" t="s">
        <v>15</v>
      </c>
      <c r="B10" s="20">
        <v>1</v>
      </c>
      <c r="C10" s="16" t="s">
        <v>20</v>
      </c>
      <c r="D10" s="7"/>
      <c r="E10" s="7"/>
      <c r="F10" s="28"/>
      <c r="G10" s="28"/>
      <c r="H10" s="28"/>
      <c r="I10" s="28"/>
      <c r="J10" s="28"/>
      <c r="K10" s="28"/>
      <c r="L10" s="12"/>
      <c r="M10" s="7"/>
      <c r="N10" s="26" t="s">
        <v>87</v>
      </c>
      <c r="O10" s="36">
        <f>O4/2</f>
        <v>19860</v>
      </c>
      <c r="P10" s="16" t="s">
        <v>1</v>
      </c>
      <c r="Q10" s="7"/>
      <c r="R10" s="7"/>
      <c r="S10" s="7"/>
      <c r="T10" s="7"/>
      <c r="U10" s="7"/>
      <c r="V10" s="7"/>
    </row>
    <row r="11" spans="1:22" ht="15.75" customHeight="1" x14ac:dyDescent="0.25">
      <c r="A11" s="6" t="s">
        <v>73</v>
      </c>
      <c r="B11" s="23" t="s">
        <v>78</v>
      </c>
      <c r="C11" s="6"/>
      <c r="D11" s="7"/>
      <c r="E11" s="7"/>
      <c r="F11" s="28"/>
      <c r="G11" s="28"/>
      <c r="H11" s="28"/>
      <c r="I11" s="28"/>
      <c r="J11" s="28"/>
      <c r="K11" s="28"/>
      <c r="L11" s="12"/>
      <c r="M11" s="7"/>
      <c r="N11" s="26" t="s">
        <v>88</v>
      </c>
      <c r="O11" s="36">
        <f>O5/2</f>
        <v>19860</v>
      </c>
      <c r="P11" s="16" t="s">
        <v>1</v>
      </c>
      <c r="Q11" s="7"/>
      <c r="R11" s="7"/>
      <c r="S11" s="7"/>
      <c r="T11" s="7"/>
      <c r="U11" s="7"/>
      <c r="V11" s="7"/>
    </row>
    <row r="12" spans="1:22" ht="15.75" customHeight="1" x14ac:dyDescent="0.25">
      <c r="A12" s="6" t="s">
        <v>69</v>
      </c>
      <c r="B12" s="6">
        <f>3*B9</f>
        <v>18</v>
      </c>
      <c r="C12" s="16" t="s">
        <v>3</v>
      </c>
      <c r="D12" s="7"/>
      <c r="E12" s="7"/>
      <c r="F12" s="28"/>
      <c r="G12" s="28"/>
      <c r="H12" s="28"/>
      <c r="I12" s="28"/>
      <c r="J12" s="28"/>
      <c r="K12" s="28"/>
      <c r="L12" s="12"/>
      <c r="M12" s="7"/>
      <c r="N12" s="6" t="s">
        <v>79</v>
      </c>
      <c r="O12" s="21" t="str">
        <f>IF(AND(O10&lt;16000,O11&lt;16000),"A",IF(AND(16000&lt;O10,O10&lt;18000,16000&lt;O11,O11&lt;18000),"B",IF(AND(18000&lt;O10,O10&lt;20000,18000&lt;O11,O11&lt;20000),"C",IF(AND(20000&lt;O10,O10&lt;22500,20000&lt;O11,O11&lt;22500),"D","E"))))</f>
        <v>C</v>
      </c>
      <c r="P12" s="7"/>
      <c r="Q12" s="7"/>
      <c r="R12" s="7"/>
      <c r="S12" s="7"/>
      <c r="T12" s="7"/>
      <c r="U12" s="7"/>
      <c r="V12" s="7"/>
    </row>
    <row r="13" spans="1:22" ht="15.75" customHeight="1" x14ac:dyDescent="0.25">
      <c r="A13" s="7"/>
      <c r="B13" s="7"/>
      <c r="C13" s="7"/>
      <c r="D13" s="7"/>
      <c r="E13" s="7"/>
      <c r="F13" s="28"/>
      <c r="G13" s="28"/>
      <c r="H13" s="28"/>
      <c r="I13" s="28"/>
      <c r="J13" s="28"/>
      <c r="K13" s="28"/>
      <c r="L13" s="12"/>
      <c r="M13" s="7"/>
      <c r="N13" s="18" t="s">
        <v>80</v>
      </c>
      <c r="O13" s="22" t="str">
        <f>IF(AND(G8="VYHOVUJE",K8="VYHOVUJE",O8="VYHOVUJE",O12&lt;=B11),"ANO","NE")</f>
        <v>ANO</v>
      </c>
      <c r="P13" s="7"/>
      <c r="Q13" s="7"/>
      <c r="R13" s="7"/>
      <c r="S13" s="7"/>
      <c r="T13" s="7"/>
      <c r="U13" s="7"/>
      <c r="V13" s="7"/>
    </row>
    <row r="14" spans="1:22" ht="219.75" customHeight="1" x14ac:dyDescent="0.25">
      <c r="A14" s="28"/>
      <c r="B14" s="28"/>
      <c r="C14" s="28"/>
      <c r="D14" s="28"/>
      <c r="E14" s="28"/>
      <c r="F14" s="28"/>
      <c r="G14" s="11"/>
      <c r="H14" s="7"/>
      <c r="I14" s="7"/>
      <c r="J14" s="32"/>
      <c r="K14" s="32"/>
      <c r="L14" s="32"/>
      <c r="M14" s="32"/>
      <c r="N14" s="32"/>
      <c r="O14" s="32"/>
      <c r="P14" s="32"/>
      <c r="Q14" s="32"/>
      <c r="R14" s="7"/>
      <c r="S14" s="7"/>
      <c r="T14" s="7"/>
      <c r="U14" s="7"/>
      <c r="V14" s="7"/>
    </row>
    <row r="15" spans="1:22" x14ac:dyDescent="0.25">
      <c r="A15" s="7"/>
      <c r="B15" s="7"/>
      <c r="C15" s="7"/>
      <c r="D15" s="7"/>
      <c r="E15" s="7"/>
      <c r="F15" s="13"/>
      <c r="G15" s="13"/>
      <c r="H15" s="12"/>
      <c r="I15" s="12"/>
      <c r="J15" s="12"/>
      <c r="K15" s="13"/>
      <c r="L15" s="12"/>
      <c r="M15" s="7"/>
      <c r="N15" s="7"/>
      <c r="O15" s="24"/>
      <c r="P15" s="7"/>
      <c r="Q15" s="7"/>
      <c r="R15" s="7"/>
      <c r="S15" s="7"/>
      <c r="T15" s="7"/>
    </row>
    <row r="16" spans="1:22" x14ac:dyDescent="0.25">
      <c r="A16" s="7"/>
      <c r="B16" s="7"/>
      <c r="C16" s="7"/>
      <c r="D16" s="7"/>
      <c r="E16" s="7"/>
      <c r="F16" s="12"/>
      <c r="G16" s="13"/>
      <c r="H16" s="12"/>
      <c r="I16" s="12"/>
      <c r="J16" s="12"/>
      <c r="K16" s="13"/>
      <c r="L16" s="12"/>
      <c r="M16" s="7"/>
      <c r="N16" s="12"/>
      <c r="O16" s="24"/>
      <c r="P16" s="7"/>
      <c r="Q16" s="7"/>
      <c r="R16" s="7"/>
      <c r="S16" s="7"/>
      <c r="T16" s="7"/>
    </row>
    <row r="17" spans="1:20" x14ac:dyDescent="0.25">
      <c r="A17" s="7"/>
      <c r="B17" s="7"/>
      <c r="C17" s="7"/>
      <c r="D17" s="7"/>
      <c r="E17" s="7"/>
      <c r="F17" s="12"/>
      <c r="G17" s="13"/>
      <c r="H17" s="12"/>
      <c r="I17" s="12"/>
      <c r="J17" s="12"/>
      <c r="K17" s="13"/>
      <c r="L17" s="12"/>
      <c r="M17" s="7"/>
      <c r="N17" s="12"/>
      <c r="O17" s="24"/>
      <c r="P17" s="7"/>
      <c r="Q17" s="7"/>
      <c r="R17" s="7"/>
      <c r="S17" s="7"/>
      <c r="T17" s="7"/>
    </row>
    <row r="18" spans="1:20" x14ac:dyDescent="0.25">
      <c r="A18" s="7"/>
      <c r="B18" s="7"/>
      <c r="C18" s="7"/>
      <c r="D18" s="7"/>
      <c r="E18" s="7"/>
      <c r="F18" s="12"/>
      <c r="G18" s="13"/>
      <c r="H18" s="12"/>
      <c r="I18" s="12"/>
      <c r="J18" s="12"/>
      <c r="K18" s="13"/>
      <c r="L18" s="12"/>
      <c r="M18" s="7"/>
      <c r="N18" s="12"/>
      <c r="O18" s="24"/>
      <c r="P18" s="7"/>
      <c r="Q18" s="7"/>
      <c r="R18" s="7"/>
      <c r="S18" s="7"/>
      <c r="T18" s="7"/>
    </row>
    <row r="19" spans="1:20" x14ac:dyDescent="0.25">
      <c r="A19" s="7"/>
      <c r="B19" s="7"/>
      <c r="C19" s="7"/>
      <c r="D19" s="7"/>
      <c r="E19" s="7"/>
      <c r="F19" s="12"/>
      <c r="G19" s="13"/>
      <c r="H19" s="12"/>
      <c r="I19" s="12"/>
      <c r="J19" s="12"/>
      <c r="K19" s="13"/>
      <c r="L19" s="12"/>
      <c r="M19" s="7"/>
      <c r="N19" s="7"/>
      <c r="O19" s="24"/>
      <c r="P19" s="7"/>
      <c r="Q19" s="7"/>
      <c r="R19" s="7"/>
      <c r="S19" s="7"/>
      <c r="T19" s="7"/>
    </row>
    <row r="20" spans="1:20" x14ac:dyDescent="0.25">
      <c r="A20" s="7"/>
      <c r="B20" s="7"/>
      <c r="C20" s="7"/>
      <c r="D20" s="7"/>
      <c r="E20" s="7"/>
      <c r="F20" s="12"/>
      <c r="G20" s="13"/>
      <c r="H20" s="12"/>
      <c r="I20" s="12"/>
      <c r="J20" s="12"/>
      <c r="K20" s="13"/>
      <c r="L20" s="12"/>
      <c r="M20" s="7"/>
      <c r="N20" s="7"/>
      <c r="O20" s="24"/>
      <c r="P20" s="7"/>
      <c r="Q20" s="7"/>
      <c r="R20" s="7"/>
      <c r="S20" s="7"/>
      <c r="T20" s="7"/>
    </row>
    <row r="21" spans="1:20" x14ac:dyDescent="0.25">
      <c r="A21" s="7"/>
      <c r="B21" s="7"/>
      <c r="C21" s="7"/>
      <c r="D21" s="7"/>
      <c r="E21" s="7"/>
      <c r="F21" s="12"/>
      <c r="G21" s="13"/>
      <c r="H21" s="12"/>
      <c r="I21" s="12"/>
      <c r="J21" s="12"/>
      <c r="K21" s="13"/>
      <c r="L21" s="12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7"/>
      <c r="B22" s="7"/>
      <c r="C22" s="7"/>
      <c r="D22" s="7"/>
      <c r="E22" s="7"/>
      <c r="F22" s="7"/>
      <c r="G22" s="24"/>
      <c r="H22" s="7"/>
      <c r="I22" s="7"/>
      <c r="J22" s="7"/>
      <c r="K22" s="24"/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25">
      <c r="A23" s="7"/>
      <c r="B23" s="7"/>
      <c r="C23" s="7"/>
      <c r="D23" s="7"/>
      <c r="E23" s="7"/>
      <c r="F23" s="7"/>
      <c r="G23" s="24"/>
      <c r="H23" s="7"/>
      <c r="I23" s="7"/>
      <c r="J23" s="7"/>
      <c r="K23" s="24"/>
      <c r="L23" s="7"/>
      <c r="M23" s="7"/>
      <c r="N23" s="7"/>
      <c r="O23" s="7"/>
      <c r="P23" s="7"/>
      <c r="Q23" s="7"/>
      <c r="R23" s="7"/>
      <c r="S23" s="7"/>
      <c r="T23" s="7"/>
    </row>
    <row r="24" spans="1:20" x14ac:dyDescent="0.25">
      <c r="A24" s="7"/>
      <c r="B24" s="7"/>
      <c r="C24" s="7"/>
      <c r="D24" s="7"/>
      <c r="E24" s="7"/>
      <c r="F24" s="7"/>
      <c r="G24" s="24"/>
      <c r="H24" s="7"/>
      <c r="I24" s="7"/>
      <c r="J24" s="7"/>
      <c r="K24" s="24"/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25">
      <c r="A25" s="7"/>
      <c r="B25" s="7"/>
      <c r="C25" s="7"/>
      <c r="D25" s="7"/>
      <c r="E25" s="7"/>
      <c r="F25" s="7"/>
      <c r="G25" s="24"/>
      <c r="H25" s="7"/>
      <c r="I25" s="7"/>
      <c r="J25" s="7"/>
      <c r="K25" s="24"/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25">
      <c r="A26" s="7"/>
      <c r="B26" s="7"/>
      <c r="C26" s="7"/>
      <c r="D26" s="7"/>
      <c r="E26" s="7"/>
      <c r="F26" s="7"/>
      <c r="G26" s="24"/>
      <c r="H26" s="7"/>
      <c r="I26" s="7"/>
      <c r="J26" s="7"/>
      <c r="K26" s="24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7"/>
      <c r="B27" s="7"/>
      <c r="C27" s="7"/>
      <c r="D27" s="7"/>
      <c r="E27" s="7"/>
      <c r="F27" s="7"/>
      <c r="G27" s="24"/>
      <c r="H27" s="7"/>
      <c r="I27" s="7"/>
      <c r="J27" s="7"/>
      <c r="K27" s="24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7"/>
      <c r="B28" s="7"/>
      <c r="C28" s="7"/>
      <c r="D28" s="7"/>
      <c r="E28" s="7"/>
      <c r="F28" s="7"/>
      <c r="G28" s="24"/>
      <c r="H28" s="7"/>
      <c r="I28" s="7"/>
      <c r="J28" s="7"/>
      <c r="K28" s="24"/>
      <c r="L28" s="7"/>
      <c r="M28" s="7"/>
      <c r="N28" s="7"/>
      <c r="O28" s="7"/>
      <c r="P28" s="7"/>
      <c r="Q28" s="7"/>
      <c r="R28" s="7"/>
      <c r="S28" s="7"/>
      <c r="T28" s="7"/>
    </row>
    <row r="29" spans="1:20" x14ac:dyDescent="0.25">
      <c r="A29" s="7"/>
      <c r="B29" s="7"/>
      <c r="C29" s="7"/>
      <c r="D29" s="7"/>
      <c r="E29" s="7"/>
      <c r="F29" s="7"/>
      <c r="G29" s="24"/>
      <c r="H29" s="7"/>
      <c r="I29" s="7"/>
      <c r="J29" s="7"/>
      <c r="K29" s="24"/>
      <c r="L29" s="7"/>
      <c r="M29" s="7"/>
      <c r="N29" s="7"/>
      <c r="O29" s="7"/>
      <c r="P29" s="7"/>
      <c r="Q29" s="7"/>
      <c r="R29" s="7"/>
      <c r="S29" s="7"/>
      <c r="T29" s="7"/>
    </row>
    <row r="30" spans="1:20" x14ac:dyDescent="0.25">
      <c r="A30" s="7"/>
      <c r="B30" s="7"/>
      <c r="C30" s="7"/>
      <c r="D30" s="7"/>
      <c r="E30" s="7"/>
      <c r="F30" s="7"/>
      <c r="G30" s="24"/>
      <c r="H30" s="7"/>
      <c r="I30" s="7"/>
      <c r="J30" s="7"/>
      <c r="K30" s="24"/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25">
      <c r="A31" s="7"/>
      <c r="B31" s="7"/>
      <c r="C31" s="7"/>
      <c r="D31" s="7"/>
      <c r="E31" s="7"/>
      <c r="F31" s="7"/>
      <c r="G31" s="24"/>
      <c r="H31" s="7"/>
      <c r="I31" s="7"/>
      <c r="J31" s="7"/>
      <c r="K31" s="24"/>
      <c r="L31" s="7"/>
      <c r="M31" s="7"/>
      <c r="N31" s="7"/>
      <c r="O31" s="7"/>
      <c r="P31" s="7"/>
      <c r="Q31" s="7"/>
      <c r="R31" s="7"/>
      <c r="S31" s="7"/>
      <c r="T31" s="7"/>
    </row>
    <row r="32" spans="1:20" x14ac:dyDescent="0.25">
      <c r="A32" s="7"/>
      <c r="B32" s="7"/>
      <c r="C32" s="7"/>
      <c r="D32" s="7"/>
      <c r="E32" s="7"/>
      <c r="F32" s="7"/>
      <c r="G32" s="24"/>
      <c r="H32" s="7"/>
      <c r="I32" s="7"/>
      <c r="J32" s="7"/>
      <c r="K32" s="24"/>
      <c r="L32" s="7"/>
      <c r="M32" s="7"/>
      <c r="N32" s="7"/>
      <c r="O32" s="7"/>
      <c r="P32" s="7"/>
      <c r="Q32" s="7"/>
      <c r="R32" s="7"/>
      <c r="S32" s="7"/>
      <c r="T32" s="7"/>
    </row>
    <row r="33" spans="1:20" x14ac:dyDescent="0.25">
      <c r="A33" s="7"/>
      <c r="B33" s="7"/>
      <c r="C33" s="7"/>
      <c r="D33" s="7"/>
      <c r="E33" s="7"/>
      <c r="F33" s="7"/>
      <c r="G33" s="24"/>
      <c r="H33" s="7"/>
      <c r="I33" s="7"/>
      <c r="J33" s="7"/>
      <c r="K33" s="24"/>
      <c r="L33" s="7"/>
      <c r="M33" s="7"/>
      <c r="N33" s="7"/>
      <c r="O33" s="7"/>
      <c r="P33" s="7"/>
      <c r="Q33" s="7"/>
      <c r="R33" s="7"/>
      <c r="S33" s="7"/>
      <c r="T33" s="7"/>
    </row>
    <row r="34" spans="1:20" x14ac:dyDescent="0.25">
      <c r="A34" s="7"/>
      <c r="B34" s="7"/>
      <c r="C34" s="7"/>
      <c r="D34" s="7"/>
      <c r="E34" s="7"/>
      <c r="F34" s="7"/>
      <c r="G34" s="24"/>
      <c r="H34" s="7"/>
      <c r="I34" s="7"/>
      <c r="J34" s="7"/>
      <c r="K34" s="24"/>
      <c r="L34" s="7"/>
      <c r="M34" s="7"/>
      <c r="N34" s="7"/>
      <c r="O34" s="7"/>
      <c r="P34" s="7"/>
      <c r="Q34" s="7"/>
      <c r="R34" s="7"/>
      <c r="S34" s="7"/>
      <c r="T34" s="7"/>
    </row>
    <row r="35" spans="1:20" x14ac:dyDescent="0.25">
      <c r="A35" s="7"/>
      <c r="B35" s="7"/>
      <c r="C35" s="7"/>
      <c r="D35" s="7"/>
      <c r="E35" s="7"/>
      <c r="F35" s="7"/>
      <c r="G35" s="24"/>
      <c r="H35" s="7"/>
      <c r="I35" s="7"/>
      <c r="J35" s="7"/>
      <c r="K35" s="24"/>
      <c r="L35" s="7"/>
      <c r="M35" s="7"/>
      <c r="N35" s="7"/>
      <c r="O35" s="7"/>
      <c r="P35" s="7"/>
      <c r="Q35" s="7"/>
      <c r="R35" s="7"/>
      <c r="S35" s="7"/>
      <c r="T35" s="7"/>
    </row>
    <row r="36" spans="1:20" x14ac:dyDescent="0.25">
      <c r="A36" s="7"/>
      <c r="B36" s="7"/>
      <c r="C36" s="7"/>
      <c r="D36" s="7"/>
      <c r="E36" s="7"/>
      <c r="F36" s="7"/>
      <c r="G36" s="24"/>
      <c r="H36" s="7"/>
      <c r="I36" s="7"/>
      <c r="J36" s="7"/>
      <c r="K36" s="24"/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25">
      <c r="A37" s="7"/>
      <c r="B37" s="7"/>
      <c r="C37" s="7"/>
      <c r="D37" s="7"/>
      <c r="E37" s="7"/>
      <c r="F37" s="7"/>
      <c r="G37" s="24"/>
      <c r="H37" s="7"/>
      <c r="I37" s="7"/>
      <c r="J37" s="7"/>
      <c r="K37" s="24"/>
      <c r="L37" s="7"/>
      <c r="M37" s="7"/>
      <c r="N37" s="7"/>
      <c r="O37" s="7"/>
      <c r="P37" s="7"/>
      <c r="Q37" s="7"/>
      <c r="R37" s="7"/>
      <c r="S37" s="7"/>
      <c r="T37" s="7"/>
    </row>
    <row r="38" spans="1:20" x14ac:dyDescent="0.25">
      <c r="A38" s="7"/>
      <c r="B38" s="7"/>
      <c r="C38" s="7"/>
      <c r="D38" s="7"/>
      <c r="E38" s="7"/>
      <c r="F38" s="7"/>
      <c r="G38" s="24"/>
      <c r="H38" s="7"/>
      <c r="I38" s="7"/>
      <c r="J38" s="7"/>
      <c r="K38" s="24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7"/>
      <c r="B39" s="7"/>
      <c r="C39" s="7"/>
      <c r="D39" s="7"/>
      <c r="E39" s="7"/>
      <c r="F39" s="7"/>
      <c r="G39" s="24"/>
      <c r="H39" s="7"/>
      <c r="I39" s="7"/>
      <c r="J39" s="7"/>
      <c r="K39" s="24"/>
      <c r="L39" s="7"/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7"/>
      <c r="B40" s="7"/>
      <c r="C40" s="7"/>
      <c r="D40" s="7"/>
      <c r="E40" s="7"/>
      <c r="F40" s="7"/>
      <c r="G40" s="24"/>
      <c r="H40" s="7"/>
      <c r="I40" s="7"/>
      <c r="J40" s="7"/>
      <c r="K40" s="24"/>
      <c r="L40" s="7"/>
      <c r="M40" s="7"/>
      <c r="N40" s="7"/>
      <c r="O40" s="7"/>
      <c r="P40" s="7"/>
      <c r="Q40" s="7"/>
      <c r="R40" s="7"/>
      <c r="S40" s="7"/>
      <c r="T40" s="7"/>
    </row>
    <row r="41" spans="1:20" x14ac:dyDescent="0.25">
      <c r="A41" s="7"/>
      <c r="B41" s="7"/>
      <c r="C41" s="7"/>
      <c r="D41" s="7"/>
      <c r="E41" s="7"/>
      <c r="F41" s="7"/>
      <c r="G41" s="24"/>
      <c r="H41" s="7"/>
      <c r="I41" s="7"/>
      <c r="J41" s="7"/>
      <c r="K41" s="24"/>
      <c r="L41" s="7"/>
      <c r="M41" s="7"/>
      <c r="N41" s="7"/>
      <c r="O41" s="7"/>
      <c r="P41" s="7"/>
      <c r="Q41" s="7"/>
      <c r="R41" s="7"/>
      <c r="S41" s="7"/>
      <c r="T41" s="7"/>
    </row>
    <row r="42" spans="1:20" x14ac:dyDescent="0.25">
      <c r="A42" s="7"/>
      <c r="B42" s="7"/>
      <c r="C42" s="7"/>
      <c r="D42" s="7"/>
      <c r="E42" s="7"/>
      <c r="F42" s="7"/>
      <c r="G42" s="24"/>
      <c r="H42" s="7"/>
      <c r="I42" s="7"/>
      <c r="J42" s="7"/>
      <c r="K42" s="24"/>
      <c r="L42" s="7"/>
      <c r="M42" s="7"/>
      <c r="N42" s="7"/>
      <c r="O42" s="7"/>
      <c r="P42" s="7"/>
      <c r="Q42" s="7"/>
      <c r="R42" s="7"/>
      <c r="S42" s="7"/>
      <c r="T42" s="7"/>
    </row>
    <row r="43" spans="1:20" x14ac:dyDescent="0.25">
      <c r="A43" s="7"/>
      <c r="B43" s="7"/>
      <c r="C43" s="7"/>
      <c r="D43" s="7"/>
      <c r="E43" s="7"/>
      <c r="F43" s="7"/>
      <c r="G43" s="24"/>
      <c r="H43" s="7"/>
      <c r="I43" s="7"/>
      <c r="J43" s="7"/>
      <c r="K43" s="24"/>
      <c r="L43" s="7"/>
      <c r="M43" s="7"/>
      <c r="N43" s="7"/>
      <c r="O43" s="7"/>
      <c r="P43" s="7"/>
      <c r="Q43" s="7"/>
      <c r="R43" s="7"/>
      <c r="S43" s="7"/>
      <c r="T43" s="7"/>
    </row>
    <row r="44" spans="1:20" x14ac:dyDescent="0.25">
      <c r="A44" s="7"/>
      <c r="B44" s="7"/>
      <c r="C44" s="7"/>
      <c r="D44" s="7"/>
      <c r="E44" s="7"/>
      <c r="F44" s="7"/>
      <c r="G44" s="24"/>
      <c r="H44" s="7"/>
      <c r="I44" s="7"/>
      <c r="J44" s="7"/>
      <c r="K44" s="24"/>
      <c r="L44" s="7"/>
      <c r="M44" s="7"/>
      <c r="N44" s="7"/>
      <c r="O44" s="7"/>
      <c r="P44" s="7"/>
      <c r="Q44" s="7"/>
      <c r="R44" s="7"/>
      <c r="S44" s="7"/>
      <c r="T44" s="7"/>
    </row>
    <row r="45" spans="1:20" x14ac:dyDescent="0.25">
      <c r="A45" s="7"/>
      <c r="B45" s="7"/>
      <c r="C45" s="7"/>
      <c r="D45" s="7"/>
      <c r="E45" s="7"/>
      <c r="F45" s="7"/>
      <c r="G45" s="24"/>
      <c r="H45" s="7"/>
      <c r="I45" s="7"/>
      <c r="J45" s="7"/>
      <c r="K45" s="24"/>
      <c r="L45" s="7"/>
      <c r="M45" s="7"/>
      <c r="N45" s="7"/>
      <c r="O45" s="7"/>
      <c r="P45" s="7"/>
      <c r="Q45" s="7"/>
      <c r="R45" s="7"/>
      <c r="S45" s="7"/>
      <c r="T45" s="7"/>
    </row>
    <row r="46" spans="1:20" x14ac:dyDescent="0.25">
      <c r="A46" s="7"/>
      <c r="B46" s="7"/>
      <c r="C46" s="7"/>
      <c r="D46" s="7"/>
      <c r="E46" s="7"/>
      <c r="F46" s="7"/>
      <c r="G46" s="24"/>
      <c r="H46" s="7"/>
      <c r="I46" s="7"/>
      <c r="J46" s="7"/>
      <c r="K46" s="24"/>
      <c r="L46" s="7"/>
      <c r="M46" s="7"/>
      <c r="N46" s="7"/>
      <c r="O46" s="7"/>
      <c r="P46" s="7"/>
      <c r="Q46" s="7"/>
      <c r="R46" s="7"/>
      <c r="S46" s="7"/>
      <c r="T46" s="7"/>
    </row>
    <row r="47" spans="1:20" x14ac:dyDescent="0.25">
      <c r="A47" s="7"/>
      <c r="B47" s="7"/>
      <c r="C47" s="7"/>
      <c r="D47" s="7"/>
      <c r="E47" s="7"/>
      <c r="F47" s="7"/>
      <c r="G47" s="24"/>
      <c r="H47" s="7"/>
      <c r="I47" s="7"/>
      <c r="J47" s="7"/>
      <c r="K47" s="24"/>
      <c r="L47" s="7"/>
      <c r="M47" s="7"/>
      <c r="N47" s="7"/>
      <c r="O47" s="7"/>
      <c r="P47" s="7"/>
      <c r="Q47" s="7"/>
      <c r="R47" s="7"/>
      <c r="S47" s="7"/>
      <c r="T47" s="7"/>
    </row>
    <row r="48" spans="1:20" x14ac:dyDescent="0.25">
      <c r="A48" s="7"/>
      <c r="B48" s="7"/>
      <c r="C48" s="7"/>
      <c r="D48" s="7"/>
      <c r="E48" s="7"/>
      <c r="F48" s="7"/>
      <c r="G48" s="24"/>
      <c r="H48" s="7"/>
      <c r="I48" s="7"/>
      <c r="J48" s="7"/>
      <c r="K48" s="24"/>
      <c r="L48" s="7"/>
      <c r="M48" s="7"/>
      <c r="N48" s="7"/>
      <c r="O48" s="7"/>
      <c r="P48" s="7"/>
      <c r="Q48" s="7"/>
      <c r="R48" s="7"/>
      <c r="S48" s="7"/>
      <c r="T48" s="7"/>
    </row>
    <row r="49" spans="1:20" x14ac:dyDescent="0.25">
      <c r="A49" s="7"/>
      <c r="B49" s="7"/>
      <c r="C49" s="7"/>
      <c r="D49" s="7"/>
      <c r="E49" s="7"/>
      <c r="F49" s="7"/>
      <c r="G49" s="24"/>
      <c r="H49" s="7"/>
      <c r="I49" s="7"/>
      <c r="J49" s="7"/>
      <c r="K49" s="24"/>
      <c r="L49" s="7"/>
      <c r="M49" s="7"/>
      <c r="N49" s="7"/>
      <c r="O49" s="7"/>
      <c r="P49" s="7"/>
      <c r="Q49" s="7"/>
      <c r="R49" s="7"/>
      <c r="S49" s="7"/>
      <c r="T49" s="7"/>
    </row>
    <row r="50" spans="1:20" x14ac:dyDescent="0.25">
      <c r="A50" s="7"/>
      <c r="B50" s="7"/>
      <c r="C50" s="7"/>
      <c r="D50" s="7"/>
      <c r="E50" s="7"/>
      <c r="F50" s="7"/>
      <c r="G50" s="24"/>
      <c r="H50" s="7"/>
      <c r="I50" s="7"/>
      <c r="J50" s="7"/>
      <c r="K50" s="24"/>
      <c r="L50" s="7"/>
      <c r="M50" s="7"/>
      <c r="N50" s="7"/>
      <c r="O50" s="7"/>
      <c r="P50" s="7"/>
      <c r="Q50" s="7"/>
      <c r="R50" s="7"/>
      <c r="S50" s="7"/>
      <c r="T50" s="7"/>
    </row>
    <row r="51" spans="1:20" x14ac:dyDescent="0.25">
      <c r="A51" s="7"/>
      <c r="B51" s="7"/>
      <c r="C51" s="7"/>
      <c r="D51" s="7"/>
      <c r="E51" s="7"/>
      <c r="F51" s="7"/>
      <c r="G51" s="24"/>
      <c r="H51" s="7"/>
      <c r="I51" s="7"/>
      <c r="J51" s="7"/>
      <c r="K51" s="24"/>
      <c r="L51" s="7"/>
      <c r="M51" s="7"/>
      <c r="N51" s="7"/>
      <c r="O51" s="7"/>
      <c r="P51" s="7"/>
      <c r="Q51" s="7"/>
      <c r="R51" s="7"/>
      <c r="S51" s="7"/>
      <c r="T51" s="7"/>
    </row>
    <row r="52" spans="1:20" x14ac:dyDescent="0.25">
      <c r="A52" s="7"/>
      <c r="B52" s="7"/>
      <c r="C52" s="7"/>
      <c r="D52" s="7"/>
      <c r="E52" s="7"/>
      <c r="F52" s="7"/>
      <c r="G52" s="24"/>
      <c r="H52" s="7"/>
      <c r="I52" s="7"/>
      <c r="J52" s="7"/>
      <c r="K52" s="24"/>
      <c r="L52" s="7"/>
      <c r="M52" s="7"/>
      <c r="N52" s="7"/>
      <c r="O52" s="7"/>
      <c r="P52" s="7"/>
      <c r="Q52" s="7"/>
      <c r="R52" s="7"/>
      <c r="S52" s="7"/>
      <c r="T52" s="7"/>
    </row>
    <row r="53" spans="1:20" x14ac:dyDescent="0.25">
      <c r="A53" s="7"/>
      <c r="B53" s="7"/>
      <c r="C53" s="7"/>
      <c r="D53" s="7"/>
      <c r="E53" s="7"/>
      <c r="F53" s="7"/>
      <c r="G53" s="24"/>
      <c r="H53" s="7"/>
      <c r="I53" s="7"/>
      <c r="J53" s="7"/>
      <c r="K53" s="24"/>
      <c r="L53" s="7"/>
      <c r="M53" s="7"/>
      <c r="N53" s="7"/>
      <c r="O53" s="7"/>
      <c r="P53" s="7"/>
      <c r="Q53" s="7"/>
      <c r="R53" s="7"/>
      <c r="S53" s="7"/>
      <c r="T53" s="7"/>
    </row>
    <row r="54" spans="1:20" x14ac:dyDescent="0.25">
      <c r="A54" s="7"/>
      <c r="B54" s="7"/>
      <c r="C54" s="7"/>
      <c r="D54" s="7"/>
      <c r="E54" s="7"/>
      <c r="F54" s="7"/>
      <c r="G54" s="24"/>
      <c r="H54" s="7"/>
      <c r="I54" s="7"/>
      <c r="J54" s="7"/>
      <c r="K54" s="24"/>
      <c r="L54" s="7"/>
      <c r="M54" s="7"/>
      <c r="N54" s="7"/>
      <c r="O54" s="7"/>
      <c r="P54" s="7"/>
      <c r="Q54" s="7"/>
      <c r="R54" s="7"/>
      <c r="S54" s="7"/>
      <c r="T54" s="7"/>
    </row>
    <row r="55" spans="1:20" x14ac:dyDescent="0.25">
      <c r="A55" s="7"/>
      <c r="B55" s="7"/>
      <c r="C55" s="7"/>
      <c r="D55" s="7"/>
      <c r="E55" s="7"/>
      <c r="F55" s="7"/>
      <c r="G55" s="24"/>
      <c r="H55" s="7"/>
      <c r="I55" s="7"/>
      <c r="J55" s="7"/>
      <c r="K55" s="24"/>
      <c r="L55" s="7"/>
      <c r="M55" s="7"/>
      <c r="N55" s="7"/>
      <c r="O55" s="7"/>
      <c r="P55" s="7"/>
      <c r="Q55" s="7"/>
      <c r="R55" s="7"/>
      <c r="S55" s="7"/>
      <c r="T55" s="7"/>
    </row>
    <row r="56" spans="1:20" x14ac:dyDescent="0.25">
      <c r="A56" s="7"/>
      <c r="B56" s="7"/>
      <c r="C56" s="7"/>
      <c r="D56" s="7"/>
      <c r="E56" s="7"/>
      <c r="F56" s="7"/>
      <c r="G56" s="24"/>
      <c r="H56" s="7"/>
      <c r="I56" s="7"/>
      <c r="J56" s="7"/>
      <c r="K56" s="24"/>
      <c r="L56" s="7"/>
      <c r="M56" s="7"/>
      <c r="N56" s="7"/>
      <c r="O56" s="7"/>
      <c r="P56" s="7"/>
      <c r="Q56" s="7"/>
      <c r="R56" s="7"/>
      <c r="S56" s="7"/>
      <c r="T56" s="7"/>
    </row>
    <row r="57" spans="1:20" x14ac:dyDescent="0.25">
      <c r="A57" s="7"/>
      <c r="B57" s="7"/>
      <c r="C57" s="7"/>
      <c r="D57" s="7"/>
      <c r="E57" s="7"/>
      <c r="F57" s="7"/>
      <c r="G57" s="24"/>
      <c r="H57" s="7"/>
      <c r="I57" s="7"/>
      <c r="J57" s="7"/>
      <c r="K57" s="24"/>
      <c r="L57" s="7"/>
      <c r="M57" s="7"/>
      <c r="N57" s="7"/>
      <c r="O57" s="7"/>
      <c r="P57" s="7"/>
      <c r="Q57" s="7"/>
      <c r="R57" s="7"/>
      <c r="S57" s="7"/>
      <c r="T57" s="7"/>
    </row>
    <row r="58" spans="1:20" x14ac:dyDescent="0.25">
      <c r="A58" s="7"/>
      <c r="B58" s="7"/>
      <c r="C58" s="7"/>
      <c r="D58" s="7"/>
      <c r="E58" s="7"/>
      <c r="F58" s="7"/>
      <c r="G58" s="24"/>
      <c r="H58" s="7"/>
      <c r="I58" s="7"/>
      <c r="J58" s="7"/>
      <c r="K58" s="24"/>
      <c r="L58" s="7"/>
      <c r="M58" s="7"/>
      <c r="N58" s="7"/>
      <c r="O58" s="7"/>
      <c r="P58" s="7"/>
      <c r="Q58" s="7"/>
      <c r="R58" s="7"/>
      <c r="S58" s="7"/>
      <c r="T58" s="7"/>
    </row>
    <row r="59" spans="1:20" x14ac:dyDescent="0.25">
      <c r="A59" s="7"/>
      <c r="B59" s="7"/>
      <c r="C59" s="7"/>
      <c r="D59" s="7"/>
      <c r="E59" s="7"/>
      <c r="F59" s="7"/>
      <c r="G59" s="24"/>
      <c r="H59" s="7"/>
      <c r="I59" s="7"/>
      <c r="J59" s="7"/>
      <c r="K59" s="24"/>
      <c r="L59" s="7"/>
      <c r="M59" s="7"/>
      <c r="N59" s="7"/>
      <c r="O59" s="7"/>
      <c r="P59" s="7"/>
      <c r="Q59" s="7"/>
      <c r="R59" s="7"/>
      <c r="S59" s="7"/>
      <c r="T59" s="7"/>
    </row>
    <row r="60" spans="1:20" x14ac:dyDescent="0.25">
      <c r="A60" s="7"/>
      <c r="B60" s="7"/>
      <c r="C60" s="7"/>
      <c r="D60" s="7"/>
      <c r="E60" s="7"/>
      <c r="F60" s="7"/>
      <c r="G60" s="24"/>
      <c r="H60" s="7"/>
      <c r="I60" s="7"/>
      <c r="J60" s="7"/>
      <c r="K60" s="24"/>
      <c r="L60" s="7"/>
      <c r="M60" s="7"/>
      <c r="N60" s="7"/>
      <c r="O60" s="7"/>
      <c r="P60" s="7"/>
      <c r="Q60" s="7"/>
      <c r="R60" s="7"/>
      <c r="S60" s="7"/>
      <c r="T60" s="7"/>
    </row>
    <row r="61" spans="1:20" x14ac:dyDescent="0.25">
      <c r="A61" s="7"/>
      <c r="B61" s="7"/>
      <c r="C61" s="7"/>
      <c r="D61" s="7"/>
      <c r="E61" s="7"/>
      <c r="F61" s="7"/>
      <c r="G61" s="24"/>
      <c r="H61" s="7"/>
      <c r="I61" s="7"/>
      <c r="J61" s="7"/>
      <c r="K61" s="24"/>
      <c r="L61" s="7"/>
      <c r="M61" s="7"/>
      <c r="N61" s="7"/>
      <c r="O61" s="7"/>
      <c r="P61" s="7"/>
      <c r="Q61" s="7"/>
      <c r="R61" s="7"/>
      <c r="S61" s="7"/>
      <c r="T61" s="7"/>
    </row>
    <row r="62" spans="1:20" x14ac:dyDescent="0.25">
      <c r="A62" s="7"/>
      <c r="B62" s="7"/>
      <c r="C62" s="7"/>
      <c r="D62" s="7"/>
      <c r="E62" s="7"/>
      <c r="F62" s="7"/>
      <c r="G62" s="24"/>
      <c r="H62" s="7"/>
      <c r="I62" s="7"/>
      <c r="J62" s="7"/>
      <c r="K62" s="24"/>
      <c r="L62" s="7"/>
      <c r="M62" s="7"/>
      <c r="N62" s="7"/>
      <c r="O62" s="7"/>
      <c r="P62" s="7"/>
      <c r="Q62" s="7"/>
      <c r="R62" s="7"/>
      <c r="S62" s="7"/>
      <c r="T62" s="7"/>
    </row>
    <row r="63" spans="1:20" x14ac:dyDescent="0.25">
      <c r="A63" s="7"/>
      <c r="B63" s="7"/>
      <c r="C63" s="7"/>
      <c r="D63" s="7"/>
      <c r="E63" s="7"/>
      <c r="F63" s="7"/>
      <c r="G63" s="24"/>
      <c r="H63" s="7"/>
      <c r="I63" s="7"/>
      <c r="J63" s="7"/>
      <c r="K63" s="24"/>
      <c r="L63" s="7"/>
      <c r="M63" s="7"/>
      <c r="N63" s="7"/>
      <c r="O63" s="7"/>
      <c r="P63" s="7"/>
      <c r="Q63" s="7"/>
      <c r="R63" s="7"/>
      <c r="S63" s="7"/>
      <c r="T63" s="7"/>
    </row>
    <row r="64" spans="1:20" x14ac:dyDescent="0.25">
      <c r="A64" s="7"/>
      <c r="B64" s="7"/>
      <c r="C64" s="7"/>
      <c r="D64" s="7"/>
      <c r="E64" s="7"/>
      <c r="F64" s="7"/>
      <c r="G64" s="24"/>
      <c r="H64" s="7"/>
      <c r="I64" s="7"/>
      <c r="J64" s="7"/>
      <c r="K64" s="24"/>
      <c r="L64" s="7"/>
      <c r="M64" s="7"/>
      <c r="N64" s="7"/>
      <c r="O64" s="7"/>
      <c r="P64" s="7"/>
      <c r="Q64" s="7"/>
      <c r="R64" s="7"/>
      <c r="S64" s="7"/>
      <c r="T64" s="7"/>
    </row>
    <row r="65" spans="1:20" x14ac:dyDescent="0.25">
      <c r="A65" s="7"/>
      <c r="B65" s="7"/>
      <c r="C65" s="7"/>
      <c r="D65" s="7"/>
      <c r="E65" s="7"/>
      <c r="F65" s="7"/>
      <c r="G65" s="24"/>
      <c r="H65" s="7"/>
      <c r="I65" s="7"/>
      <c r="J65" s="7"/>
      <c r="K65" s="24"/>
      <c r="L65" s="7"/>
      <c r="M65" s="7"/>
      <c r="N65" s="7"/>
      <c r="O65" s="7"/>
      <c r="P65" s="7"/>
      <c r="Q65" s="7"/>
      <c r="R65" s="7"/>
      <c r="S65" s="7"/>
      <c r="T65" s="7"/>
    </row>
    <row r="66" spans="1:20" x14ac:dyDescent="0.25">
      <c r="A66" s="7"/>
      <c r="B66" s="7"/>
      <c r="C66" s="7"/>
      <c r="D66" s="7"/>
      <c r="E66" s="7"/>
      <c r="F66" s="7"/>
      <c r="G66" s="24"/>
      <c r="H66" s="7"/>
      <c r="I66" s="7"/>
      <c r="J66" s="7"/>
      <c r="K66" s="24"/>
      <c r="L66" s="7"/>
      <c r="M66" s="7"/>
      <c r="N66" s="7"/>
      <c r="O66" s="7"/>
      <c r="P66" s="7"/>
      <c r="Q66" s="7"/>
      <c r="R66" s="7"/>
      <c r="S66" s="7"/>
      <c r="T66" s="7"/>
    </row>
    <row r="67" spans="1:20" x14ac:dyDescent="0.25">
      <c r="A67" s="7"/>
      <c r="B67" s="7"/>
      <c r="C67" s="7"/>
      <c r="D67" s="7"/>
      <c r="E67" s="7"/>
      <c r="F67" s="7"/>
      <c r="G67" s="24"/>
      <c r="H67" s="7"/>
      <c r="I67" s="7"/>
      <c r="J67" s="7"/>
      <c r="K67" s="24"/>
      <c r="L67" s="7"/>
      <c r="M67" s="7"/>
      <c r="N67" s="7"/>
      <c r="O67" s="7"/>
      <c r="P67" s="7"/>
      <c r="Q67" s="7"/>
      <c r="R67" s="7"/>
      <c r="S67" s="7"/>
      <c r="T67" s="7"/>
    </row>
    <row r="68" spans="1:20" x14ac:dyDescent="0.25">
      <c r="A68" s="7"/>
      <c r="B68" s="7"/>
      <c r="C68" s="7"/>
      <c r="D68" s="7"/>
      <c r="E68" s="7"/>
      <c r="F68" s="7"/>
      <c r="G68" s="24"/>
      <c r="H68" s="7"/>
      <c r="I68" s="7"/>
      <c r="J68" s="7"/>
      <c r="K68" s="24"/>
      <c r="L68" s="7"/>
      <c r="M68" s="7"/>
      <c r="N68" s="7"/>
      <c r="O68" s="7"/>
      <c r="P68" s="7"/>
      <c r="Q68" s="7"/>
      <c r="R68" s="7"/>
      <c r="S68" s="7"/>
      <c r="T68" s="7"/>
    </row>
    <row r="69" spans="1:20" x14ac:dyDescent="0.25">
      <c r="A69" s="7"/>
      <c r="B69" s="7"/>
      <c r="C69" s="7"/>
      <c r="D69" s="7"/>
      <c r="E69" s="7"/>
      <c r="F69" s="7"/>
      <c r="G69" s="24"/>
      <c r="H69" s="7"/>
      <c r="I69" s="7"/>
      <c r="J69" s="7"/>
      <c r="K69" s="24"/>
      <c r="L69" s="7"/>
      <c r="M69" s="7"/>
      <c r="N69" s="7"/>
      <c r="O69" s="7"/>
      <c r="P69" s="7"/>
      <c r="Q69" s="7"/>
      <c r="R69" s="7"/>
      <c r="S69" s="7"/>
      <c r="T69" s="7"/>
    </row>
    <row r="70" spans="1:20" x14ac:dyDescent="0.25">
      <c r="A70" s="7"/>
      <c r="B70" s="7"/>
      <c r="C70" s="7"/>
      <c r="D70" s="7"/>
      <c r="E70" s="7"/>
      <c r="F70" s="7"/>
      <c r="G70" s="24"/>
      <c r="H70" s="7"/>
      <c r="I70" s="7"/>
      <c r="J70" s="7"/>
      <c r="K70" s="24"/>
      <c r="L70" s="7"/>
      <c r="M70" s="7"/>
      <c r="N70" s="7"/>
      <c r="O70" s="7"/>
      <c r="P70" s="7"/>
      <c r="Q70" s="7"/>
      <c r="R70" s="7"/>
      <c r="S70" s="7"/>
      <c r="T70" s="7"/>
    </row>
  </sheetData>
  <sheetProtection algorithmName="SHA-512" hashValue="Kg0TfC5u4xlUap29Ns2euBDz9FUM+iACQAqE7HytF5Gfez5jgUpXaj7wcEOkGzGKdK4dgky1doEH0pNYPYGYwA==" saltValue="7GXYoZGywUam1BLamGlXqg==" spinCount="100000" sheet="1" selectLockedCells="1"/>
  <mergeCells count="7">
    <mergeCell ref="A3:C3"/>
    <mergeCell ref="N1:O1"/>
    <mergeCell ref="A14:F14"/>
    <mergeCell ref="B1:C1"/>
    <mergeCell ref="A8:C8"/>
    <mergeCell ref="F10:K13"/>
    <mergeCell ref="J14:Q14"/>
  </mergeCells>
  <conditionalFormatting sqref="G8">
    <cfRule type="containsText" dxfId="16" priority="17" operator="containsText" text="NEVYHOVUJE">
      <formula>NOT(ISERROR(SEARCH("NEVYHOVUJE",G8)))</formula>
    </cfRule>
    <cfRule type="containsText" dxfId="15" priority="18" operator="containsText" text="VYHOVUJE">
      <formula>NOT(ISERROR(SEARCH("VYHOVUJE",G8)))</formula>
    </cfRule>
  </conditionalFormatting>
  <conditionalFormatting sqref="K8">
    <cfRule type="containsText" dxfId="14" priority="9" operator="containsText" text="NEVYHOVUJE">
      <formula>NOT(ISERROR(SEARCH("NEVYHOVUJE",K8)))</formula>
    </cfRule>
    <cfRule type="containsText" dxfId="13" priority="15" operator="containsText" text="VYHOVUJE">
      <formula>NOT(ISERROR(SEARCH("VYHOVUJE",K8)))</formula>
    </cfRule>
    <cfRule type="containsText" dxfId="12" priority="16" operator="containsText" text="NEVYHOVUJE">
      <formula>NOT(ISERROR(SEARCH("NEVYHOVUJE",K8)))</formula>
    </cfRule>
  </conditionalFormatting>
  <conditionalFormatting sqref="G21">
    <cfRule type="containsText" dxfId="11" priority="12" operator="containsText" text="NEVYHOVUJE">
      <formula>NOT(ISERROR(SEARCH("NEVYHOVUJE",G21)))</formula>
    </cfRule>
    <cfRule type="containsText" dxfId="10" priority="13" operator="containsText" text="VYHOVUJE">
      <formula>NOT(ISERROR(SEARCH("VYHOVUJE",G21)))</formula>
    </cfRule>
    <cfRule type="colorScale" priority="14">
      <colorScale>
        <cfvo type="formula" val="&quot;VYHOVUJE&quot;"/>
        <cfvo type="formula" val="&quot;NEVYHOVUJE&quot;"/>
        <color rgb="FF92D050"/>
        <color rgb="FFFF0000"/>
      </colorScale>
    </cfRule>
  </conditionalFormatting>
  <conditionalFormatting sqref="O8">
    <cfRule type="containsText" dxfId="9" priority="10" operator="containsText" text="VYHOVUJE">
      <formula>NOT(ISERROR(SEARCH("VYHOVUJE",O8)))</formula>
    </cfRule>
    <cfRule type="containsText" dxfId="8" priority="11" operator="containsText" text="NEVYHOVUJE">
      <formula>NOT(ISERROR(SEARCH("NEVYHOVUJE",O8)))</formula>
    </cfRule>
  </conditionalFormatting>
  <conditionalFormatting sqref="K21">
    <cfRule type="containsText" dxfId="7" priority="7" operator="containsText" text="NEVYHOVUJE">
      <formula>NOT(ISERROR(SEARCH("NEVYHOVUJE",K21)))</formula>
    </cfRule>
    <cfRule type="containsText" dxfId="6" priority="8" operator="containsText" text="VYHOVUJE">
      <formula>NOT(ISERROR(SEARCH("VYHOVUJE",K21)))</formula>
    </cfRule>
  </conditionalFormatting>
  <conditionalFormatting sqref="O13">
    <cfRule type="containsText" dxfId="5" priority="6" operator="containsText" text="ANO">
      <formula>NOT(ISERROR(SEARCH("ANO",O13)))</formula>
    </cfRule>
    <cfRule type="containsText" dxfId="4" priority="5" operator="containsText" text="NE">
      <formula>NOT(ISERROR(SEARCH("NE",O13)))</formula>
    </cfRule>
    <cfRule type="containsText" dxfId="3" priority="1" operator="containsText" text="ANO">
      <formula>NOT(ISERROR(SEARCH("ANO",O13)))</formula>
    </cfRule>
  </conditionalFormatting>
  <conditionalFormatting sqref="G7">
    <cfRule type="cellIs" dxfId="2" priority="4" operator="greaterThan">
      <formula>1.25</formula>
    </cfRule>
  </conditionalFormatting>
  <conditionalFormatting sqref="K7">
    <cfRule type="cellIs" dxfId="1" priority="3" operator="greaterThan">
      <formula>1.25</formula>
    </cfRule>
  </conditionalFormatting>
  <conditionalFormatting sqref="O12">
    <cfRule type="cellIs" dxfId="0" priority="2" operator="greaterThan">
      <formula>$B$11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83B0907-C7F1-49E4-AB1B-5A4F24D42F5F}">
          <x14:formula1>
            <xm:f>Data1!$K$2:$K$4</xm:f>
          </x14:formula1>
          <xm:sqref>B10</xm:sqref>
        </x14:dataValidation>
        <x14:dataValidation type="list" allowBlank="1" showInputMessage="1" showErrorMessage="1" xr:uid="{3C34C645-1CA1-42E0-9C73-072262547500}">
          <x14:formula1>
            <xm:f>Data1!$A$9:$A$11</xm:f>
          </x14:formula1>
          <xm:sqref>B9</xm:sqref>
        </x14:dataValidation>
        <x14:dataValidation type="list" allowBlank="1" showInputMessage="1" showErrorMessage="1" xr:uid="{CEE0E686-8714-46F3-ACBD-BF656FAC3264}">
          <x14:formula1>
            <xm:f>Data1!$J$2:$J$6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F853A-129D-4481-9A12-F050EEC53FBB}">
  <dimension ref="A1:R32"/>
  <sheetViews>
    <sheetView workbookViewId="0">
      <selection activeCell="C14" sqref="C14"/>
    </sheetView>
  </sheetViews>
  <sheetFormatPr defaultRowHeight="15" x14ac:dyDescent="0.25"/>
  <cols>
    <col min="1" max="1" width="18.42578125" style="1" customWidth="1"/>
    <col min="2" max="2" width="10" style="1" bestFit="1" customWidth="1"/>
    <col min="3" max="3" width="9.140625" style="1"/>
    <col min="4" max="4" width="16.28515625" style="1" bestFit="1" customWidth="1"/>
    <col min="5" max="6" width="9.140625" style="1"/>
    <col min="7" max="7" width="10" style="1" bestFit="1" customWidth="1"/>
    <col min="8" max="8" width="9.140625" style="1"/>
    <col min="9" max="9" width="20.140625" style="1" customWidth="1"/>
    <col min="10" max="10" width="9.7109375" style="1" bestFit="1" customWidth="1"/>
    <col min="11" max="16384" width="9.140625" style="1"/>
  </cols>
  <sheetData>
    <row r="1" spans="1:18" x14ac:dyDescent="0.25">
      <c r="C1" s="3" t="s">
        <v>17</v>
      </c>
      <c r="D1" s="3" t="s">
        <v>21</v>
      </c>
      <c r="E1" s="3"/>
      <c r="F1" s="3"/>
      <c r="G1" s="3"/>
      <c r="H1" s="3"/>
      <c r="M1" s="3"/>
      <c r="N1" s="3"/>
      <c r="O1" s="3"/>
      <c r="P1" s="3"/>
      <c r="Q1" s="3"/>
      <c r="R1" s="3"/>
    </row>
    <row r="2" spans="1:18" x14ac:dyDescent="0.25">
      <c r="C2" s="33">
        <v>1</v>
      </c>
      <c r="D2" s="33"/>
      <c r="E2" s="33">
        <v>2</v>
      </c>
      <c r="F2" s="33"/>
      <c r="G2" s="33">
        <v>3</v>
      </c>
      <c r="H2" s="33"/>
      <c r="J2" s="5" t="s">
        <v>74</v>
      </c>
      <c r="K2" s="5">
        <v>1</v>
      </c>
      <c r="M2" s="33">
        <v>1</v>
      </c>
      <c r="N2" s="33"/>
      <c r="O2" s="33">
        <v>2</v>
      </c>
      <c r="P2" s="33"/>
      <c r="Q2" s="33">
        <v>3</v>
      </c>
      <c r="R2" s="33"/>
    </row>
    <row r="3" spans="1:18" x14ac:dyDescent="0.25">
      <c r="C3" s="2" t="s">
        <v>4</v>
      </c>
      <c r="D3" s="2">
        <v>1817.4</v>
      </c>
      <c r="E3" s="2" t="s">
        <v>4</v>
      </c>
      <c r="F3" s="2">
        <v>1817.4</v>
      </c>
      <c r="G3" s="2" t="s">
        <v>4</v>
      </c>
      <c r="H3" s="2">
        <v>1817.4</v>
      </c>
      <c r="J3" s="5" t="s">
        <v>75</v>
      </c>
      <c r="K3" s="5">
        <v>2</v>
      </c>
      <c r="M3" s="2" t="s">
        <v>35</v>
      </c>
      <c r="N3" s="2">
        <v>1817.4</v>
      </c>
      <c r="O3" s="2" t="s">
        <v>35</v>
      </c>
      <c r="P3" s="2">
        <v>1817.4</v>
      </c>
      <c r="Q3" s="2" t="s">
        <v>35</v>
      </c>
      <c r="R3" s="2">
        <v>1817.4</v>
      </c>
    </row>
    <row r="4" spans="1:18" x14ac:dyDescent="0.25">
      <c r="C4" s="2" t="s">
        <v>5</v>
      </c>
      <c r="D4" s="2">
        <v>1582.4</v>
      </c>
      <c r="E4" s="2" t="s">
        <v>5</v>
      </c>
      <c r="F4" s="2">
        <v>1519.4</v>
      </c>
      <c r="G4" s="2" t="s">
        <v>5</v>
      </c>
      <c r="H4" s="2">
        <v>1582.4</v>
      </c>
      <c r="J4" s="5" t="s">
        <v>76</v>
      </c>
      <c r="K4" s="5">
        <v>3</v>
      </c>
      <c r="M4" s="2" t="s">
        <v>36</v>
      </c>
      <c r="N4" s="2">
        <v>1582.4</v>
      </c>
      <c r="O4" s="2" t="s">
        <v>36</v>
      </c>
      <c r="P4" s="2">
        <v>1519.4</v>
      </c>
      <c r="Q4" s="2" t="s">
        <v>36</v>
      </c>
      <c r="R4" s="2">
        <v>1347.4</v>
      </c>
    </row>
    <row r="5" spans="1:18" x14ac:dyDescent="0.25">
      <c r="C5" s="2" t="s">
        <v>6</v>
      </c>
      <c r="D5" s="2">
        <v>1347.4</v>
      </c>
      <c r="E5" s="2" t="s">
        <v>6</v>
      </c>
      <c r="F5" s="2">
        <v>1220</v>
      </c>
      <c r="G5" s="2" t="s">
        <v>6</v>
      </c>
      <c r="H5" s="2">
        <v>1347.4</v>
      </c>
      <c r="J5" s="5" t="s">
        <v>77</v>
      </c>
      <c r="M5" s="2" t="s">
        <v>37</v>
      </c>
      <c r="N5" s="2">
        <v>1347.4</v>
      </c>
      <c r="O5" s="2" t="s">
        <v>37</v>
      </c>
      <c r="P5" s="2">
        <v>1220</v>
      </c>
      <c r="Q5" s="2" t="s">
        <v>37</v>
      </c>
      <c r="R5" s="2">
        <v>983.7</v>
      </c>
    </row>
    <row r="6" spans="1:18" x14ac:dyDescent="0.25">
      <c r="C6" s="2" t="s">
        <v>7</v>
      </c>
      <c r="D6" s="2">
        <v>985</v>
      </c>
      <c r="E6" s="2" t="s">
        <v>7</v>
      </c>
      <c r="F6" s="2">
        <v>750</v>
      </c>
      <c r="G6" s="2" t="s">
        <v>7</v>
      </c>
      <c r="H6" s="2">
        <v>1113.8</v>
      </c>
      <c r="J6" s="5" t="s">
        <v>78</v>
      </c>
      <c r="M6" s="2" t="s">
        <v>38</v>
      </c>
      <c r="N6" s="2">
        <v>877.4</v>
      </c>
      <c r="O6" s="2" t="s">
        <v>38</v>
      </c>
      <c r="P6" s="2">
        <v>984.8</v>
      </c>
      <c r="Q6" s="2" t="s">
        <v>38</v>
      </c>
      <c r="R6" s="2">
        <v>622.6</v>
      </c>
    </row>
    <row r="7" spans="1:18" x14ac:dyDescent="0.25">
      <c r="C7" s="2" t="s">
        <v>8</v>
      </c>
      <c r="D7" s="2">
        <v>622.6</v>
      </c>
      <c r="E7" s="2" t="s">
        <v>8</v>
      </c>
      <c r="F7" s="2">
        <v>515.20000000000005</v>
      </c>
      <c r="G7" s="2" t="s">
        <v>8</v>
      </c>
      <c r="H7" s="2">
        <v>878.8</v>
      </c>
      <c r="M7" s="2" t="s">
        <v>39</v>
      </c>
      <c r="N7" s="2">
        <v>515</v>
      </c>
      <c r="O7" s="2" t="s">
        <v>39</v>
      </c>
      <c r="P7" s="2">
        <v>750</v>
      </c>
      <c r="Q7" s="2" t="s">
        <v>39</v>
      </c>
      <c r="R7" s="2">
        <v>386.2</v>
      </c>
    </row>
    <row r="8" spans="1:18" x14ac:dyDescent="0.25">
      <c r="A8" s="1" t="s">
        <v>18</v>
      </c>
      <c r="C8" s="2" t="s">
        <v>9</v>
      </c>
      <c r="D8" s="2">
        <v>152.6</v>
      </c>
      <c r="E8" s="2" t="s">
        <v>9</v>
      </c>
      <c r="F8" s="2">
        <v>280</v>
      </c>
      <c r="G8" s="2" t="s">
        <v>9</v>
      </c>
      <c r="H8" s="2">
        <v>516.29999999999995</v>
      </c>
      <c r="M8" s="2" t="s">
        <v>40</v>
      </c>
      <c r="N8" s="2">
        <v>152.6</v>
      </c>
      <c r="O8" s="2" t="s">
        <v>40</v>
      </c>
      <c r="P8" s="2">
        <v>280</v>
      </c>
      <c r="Q8" s="2" t="s">
        <v>40</v>
      </c>
      <c r="R8" s="2">
        <v>152.6</v>
      </c>
    </row>
    <row r="9" spans="1:18" x14ac:dyDescent="0.25">
      <c r="A9" s="5">
        <v>8</v>
      </c>
      <c r="C9" s="2" t="s">
        <v>10</v>
      </c>
      <c r="D9" s="2">
        <v>-82.4</v>
      </c>
      <c r="E9" s="2" t="s">
        <v>10</v>
      </c>
      <c r="F9" s="2">
        <v>-19.399999999999999</v>
      </c>
      <c r="G9" s="2" t="s">
        <v>10</v>
      </c>
      <c r="H9" s="2">
        <v>152.6</v>
      </c>
      <c r="M9" s="2" t="s">
        <v>41</v>
      </c>
      <c r="N9" s="2">
        <v>-82.4</v>
      </c>
      <c r="O9" s="2" t="s">
        <v>41</v>
      </c>
      <c r="P9" s="2">
        <v>-19.399999999999999</v>
      </c>
      <c r="Q9" s="2" t="s">
        <v>41</v>
      </c>
      <c r="R9" s="2">
        <v>-82.4</v>
      </c>
    </row>
    <row r="10" spans="1:18" x14ac:dyDescent="0.25">
      <c r="A10" s="5">
        <v>7</v>
      </c>
      <c r="C10" s="2" t="s">
        <v>11</v>
      </c>
      <c r="D10" s="2">
        <v>-317.39999999999998</v>
      </c>
      <c r="E10" s="2" t="s">
        <v>11</v>
      </c>
      <c r="F10" s="2">
        <v>-317.39999999999998</v>
      </c>
      <c r="G10" s="2" t="s">
        <v>11</v>
      </c>
      <c r="H10" s="2">
        <v>-317.39999999999998</v>
      </c>
      <c r="M10" s="2" t="s">
        <v>42</v>
      </c>
      <c r="N10" s="2">
        <v>-317.39999999999998</v>
      </c>
      <c r="O10" s="2" t="s">
        <v>42</v>
      </c>
      <c r="P10" s="2">
        <v>-317.39999999999998</v>
      </c>
      <c r="Q10" s="2" t="s">
        <v>42</v>
      </c>
      <c r="R10" s="2">
        <v>-317.39999999999998</v>
      </c>
    </row>
    <row r="11" spans="1:18" x14ac:dyDescent="0.25">
      <c r="A11" s="5">
        <v>6</v>
      </c>
      <c r="C11" s="2" t="s">
        <v>33</v>
      </c>
    </row>
    <row r="12" spans="1:18" x14ac:dyDescent="0.25">
      <c r="C12" s="2" t="s">
        <v>16</v>
      </c>
      <c r="F12" s="2" t="s">
        <v>43</v>
      </c>
      <c r="I12" s="2" t="s">
        <v>44</v>
      </c>
    </row>
    <row r="13" spans="1:18" x14ac:dyDescent="0.25">
      <c r="C13" s="2" t="s">
        <v>12</v>
      </c>
      <c r="D13" s="1">
        <f>(((3*Výpočty!B6*(Data1!D3+D4+Data1!D5+Data1!D6+Data1!D7+Data1!D8+D9+Data1!D10))/4)/1500)+Výpočty!B7/8</f>
        <v>12666.939000000004</v>
      </c>
      <c r="E13" s="2" t="s">
        <v>1</v>
      </c>
      <c r="F13" s="2" t="s">
        <v>12</v>
      </c>
      <c r="G13" s="1">
        <f>(((3*Výpočty!$B$6*(F3+F4+F5+F6+F7+F8+F9+F10))/4)/1500)+Výpočty!B7/8</f>
        <v>12084.003000000001</v>
      </c>
      <c r="H13" s="2" t="s">
        <v>1</v>
      </c>
      <c r="I13" s="2" t="s">
        <v>12</v>
      </c>
      <c r="J13" s="1">
        <f>(((3*Výpočty!$B$6*(H3+H4+H5+H6+H7+H8+H9+H10))/4)/1500)+Výpočty!$B$7/8</f>
        <v>14341.688250000003</v>
      </c>
      <c r="K13" s="2" t="s">
        <v>1</v>
      </c>
    </row>
    <row r="14" spans="1:18" x14ac:dyDescent="0.25">
      <c r="C14" s="2" t="s">
        <v>14</v>
      </c>
      <c r="D14" s="1">
        <f>Výpočty!$B$7/4+((3*(8*Výpočty!B6))/4)-D13</f>
        <v>12300.560999999996</v>
      </c>
      <c r="E14" s="2" t="s">
        <v>1</v>
      </c>
      <c r="F14" s="2" t="s">
        <v>14</v>
      </c>
      <c r="G14" s="1">
        <f>Výpočty!$B$7/4+((3*(8*Výpočty!$B$6))/4)-G13</f>
        <v>12883.496999999999</v>
      </c>
      <c r="H14" s="2" t="s">
        <v>1</v>
      </c>
      <c r="I14" s="2" t="s">
        <v>14</v>
      </c>
      <c r="J14" s="1">
        <f>Výpočty!$B$7/4+((3*(8*Výpočty!$B$6))/4)-J13</f>
        <v>10625.811749999997</v>
      </c>
      <c r="K14" s="2" t="s">
        <v>1</v>
      </c>
    </row>
    <row r="15" spans="1:18" x14ac:dyDescent="0.25">
      <c r="C15" s="2" t="s">
        <v>34</v>
      </c>
    </row>
    <row r="16" spans="1:18" x14ac:dyDescent="0.25">
      <c r="C16" s="2" t="s">
        <v>16</v>
      </c>
      <c r="F16" s="2" t="s">
        <v>43</v>
      </c>
      <c r="I16" s="2" t="s">
        <v>44</v>
      </c>
    </row>
    <row r="17" spans="1:15" x14ac:dyDescent="0.25">
      <c r="C17" s="2" t="s">
        <v>12</v>
      </c>
      <c r="D17" s="1">
        <f>(((2*Výpočty!B6*(Data1!D3+D4+Data1!D5+Data1!D6+Data1!D7+Data1!D8+D9+Data1!D10))/4)/1500)+((Výpočty!B6*(N3+N4+N5+N6+N7+N8+N9+N10)/4)/1500)+(Výpočty!B7/8)</f>
        <v>12544.813000000004</v>
      </c>
      <c r="E17" s="1" t="s">
        <v>1</v>
      </c>
      <c r="F17" s="2" t="s">
        <v>12</v>
      </c>
      <c r="G17" s="1">
        <f>(((2*Výpočty!B6*(F3+F4+F5+F6+F7+F8+F9+F10))/4)/1500)+((Výpočty!B6*(P3+P4+P5+P6+P7+P8+P9+P10)/4)/1500)+(Výpočty!B7/8)</f>
        <v>12350.501000000002</v>
      </c>
      <c r="H17" s="1" t="s">
        <v>1</v>
      </c>
      <c r="I17" s="2" t="s">
        <v>12</v>
      </c>
      <c r="J17" s="1">
        <f>(((2*Výpočty!B6*(H3+H4+H5+H6+H7+H8+H9+H10))/4)/1500)+((Výpočty!B6*(R3+R4+R5+R6+R7+R8+R9+R10)/4)/1500)+(Výpočty!B7/8)</f>
        <v>13103.857250000005</v>
      </c>
      <c r="K17" s="1" t="s">
        <v>1</v>
      </c>
    </row>
    <row r="18" spans="1:15" x14ac:dyDescent="0.25">
      <c r="C18" s="2" t="s">
        <v>14</v>
      </c>
      <c r="D18" s="1">
        <f>Výpočty!$B$7/4+((3*(8*Výpočty!$B$6))/4)-D17</f>
        <v>12422.686999999996</v>
      </c>
      <c r="E18" s="1" t="s">
        <v>1</v>
      </c>
      <c r="F18" s="2" t="s">
        <v>14</v>
      </c>
      <c r="G18" s="1">
        <f>Výpočty!$B$7/4+((3*(8*Výpočty!$B$6))/4)-G17</f>
        <v>12616.998999999998</v>
      </c>
      <c r="H18" s="1" t="s">
        <v>1</v>
      </c>
      <c r="I18" s="2" t="s">
        <v>14</v>
      </c>
      <c r="J18" s="1">
        <f>Výpočty!$B$7/4+((3*(8*Výpočty!$B$6))/4)-J17</f>
        <v>11863.642749999995</v>
      </c>
      <c r="K18" s="1" t="s">
        <v>1</v>
      </c>
    </row>
    <row r="20" spans="1:15" x14ac:dyDescent="0.25">
      <c r="A20" s="1" t="s">
        <v>46</v>
      </c>
    </row>
    <row r="21" spans="1:15" x14ac:dyDescent="0.25">
      <c r="A21" s="1" t="s">
        <v>33</v>
      </c>
      <c r="B21" s="1" t="s">
        <v>50</v>
      </c>
      <c r="D21" s="1" t="s">
        <v>51</v>
      </c>
      <c r="F21" s="2" t="s">
        <v>52</v>
      </c>
      <c r="I21" s="2" t="s">
        <v>58</v>
      </c>
      <c r="J21" s="1" t="s">
        <v>50</v>
      </c>
      <c r="L21" s="1" t="s">
        <v>51</v>
      </c>
      <c r="N21" s="1" t="s">
        <v>52</v>
      </c>
    </row>
    <row r="22" spans="1:15" x14ac:dyDescent="0.25">
      <c r="A22" s="1" t="s">
        <v>47</v>
      </c>
      <c r="B22" s="1">
        <f>(1.5*8*Výpočty!$B$6)+(Výpočty!$B$7/2)</f>
        <v>49935</v>
      </c>
      <c r="C22" s="1" t="s">
        <v>1</v>
      </c>
      <c r="D22" s="1">
        <f>(1.5*8*Výpočty!$B$6)+(Výpočty!$B$7/2)</f>
        <v>49935</v>
      </c>
      <c r="E22" s="1" t="s">
        <v>1</v>
      </c>
      <c r="F22" s="1">
        <f>(1.5*8*Výpočty!$B$6)+(Výpočty!$B$7/2)</f>
        <v>49935</v>
      </c>
      <c r="G22" s="1" t="s">
        <v>1</v>
      </c>
      <c r="I22" s="2" t="s">
        <v>59</v>
      </c>
      <c r="J22" s="1">
        <f>(1.5*8*Výpočty!$B$6)+(Výpočty!$B$7/2)</f>
        <v>49935</v>
      </c>
      <c r="K22" s="1" t="s">
        <v>1</v>
      </c>
      <c r="L22" s="1">
        <f>(1.5*8*Výpočty!$B$6)+(Výpočty!$B$7/2)</f>
        <v>49935</v>
      </c>
      <c r="M22" s="1" t="s">
        <v>1</v>
      </c>
      <c r="N22" s="1">
        <f>(1.5*8*Výpočty!$B$6)+(Výpočty!$B$7/2)</f>
        <v>49935</v>
      </c>
      <c r="O22" s="1" t="s">
        <v>1</v>
      </c>
    </row>
    <row r="23" spans="1:15" x14ac:dyDescent="0.25">
      <c r="A23" s="1" t="s">
        <v>48</v>
      </c>
      <c r="B23" s="1">
        <f>2*B22</f>
        <v>99870</v>
      </c>
      <c r="C23" s="1" t="s">
        <v>1</v>
      </c>
      <c r="D23" s="1">
        <f>2*D22</f>
        <v>99870</v>
      </c>
      <c r="E23" s="1" t="s">
        <v>1</v>
      </c>
      <c r="F23" s="1">
        <f>2*F22</f>
        <v>99870</v>
      </c>
      <c r="G23" s="1" t="s">
        <v>1</v>
      </c>
      <c r="I23" s="1" t="s">
        <v>48</v>
      </c>
      <c r="J23" s="1">
        <f>2*J22</f>
        <v>99870</v>
      </c>
      <c r="K23" s="1" t="s">
        <v>1</v>
      </c>
      <c r="L23" s="1">
        <f>2*L22</f>
        <v>99870</v>
      </c>
      <c r="M23" s="1" t="s">
        <v>1</v>
      </c>
      <c r="N23" s="1">
        <f>2*N22</f>
        <v>99870</v>
      </c>
      <c r="O23" s="1" t="s">
        <v>1</v>
      </c>
    </row>
    <row r="24" spans="1:15" x14ac:dyDescent="0.25">
      <c r="A24" s="1" t="s">
        <v>49</v>
      </c>
      <c r="B24" s="1">
        <f>((-1.5*Výpočty!$B$6*(D3+D4+D5+D6+D7+D8))-((Výpočty!$B$7/4)*1500)+(1.5*Výpočty!$B$6*(-D9-D10)))/-B22</f>
        <v>761.0056473415442</v>
      </c>
      <c r="C24" s="1" t="s">
        <v>0</v>
      </c>
      <c r="D24" s="1">
        <f>((-1.5*Výpočty!$B$6*(F3+F4+F5+F6+F7+F8))-((Výpočty!$B$7/4)*1500)+(1.5*Výpočty!$B$6*(-F9-F10)))/-D22</f>
        <v>725.98395914689092</v>
      </c>
      <c r="E24" s="1" t="s">
        <v>0</v>
      </c>
      <c r="F24" s="1">
        <f>((-1.5*Výpočty!$B$6*(H3+H4+H5+H6+H7+H8+H9))-((Výpočty!$B$7/4)*1500)+(1.5*Výpočty!$B$6*(-H10)))/-F22</f>
        <v>861.62140282367091</v>
      </c>
      <c r="G24" s="1" t="s">
        <v>0</v>
      </c>
      <c r="I24" s="1" t="s">
        <v>49</v>
      </c>
      <c r="J24" s="1">
        <f>(-1*Výpočty!$B$6*(D3+D4+D5+D6+D7+D8)-0.5*Výpočty!$B$6*(N3+N4+N5+N6+N7+N8)-(Výpočty!$B$7/4)*1500+Výpočty!$B$6*(-D9-D10)+0.5*Výpočty!$B$6*(-N9-N10))/-J22</f>
        <v>753.66854911384814</v>
      </c>
      <c r="K24" s="1" t="s">
        <v>0</v>
      </c>
      <c r="L24" s="1">
        <f>(-1*Výpočty!$B$6*(F3+F4+F5+F6+F7+F8)-0.5*Výpočty!$B$6*(P3+P4+P5+P6+P7+P8)-(Výpočty!$B$7/4)*1500+Výpočty!$B$6*(-F9-F10)+0.5*Výpočty!$B$6*(-P9-P10))/-L22</f>
        <v>741.99465304896364</v>
      </c>
      <c r="M24" s="1" t="s">
        <v>0</v>
      </c>
      <c r="N24" s="1">
        <f>(-1*Výpočty!$B$6*(H3+H4+H5+H6+H7+H8+H9)-0.5*Výpočty!$B$6*(R3+R4+R5+R6+R7+R8)-(Výpočty!$B$7/4)*1500+Výpočty!$B$6*(-H10)+0.5*Výpočty!$B$6*(-R9-R10))/-N22</f>
        <v>787.25486632622415</v>
      </c>
      <c r="O24" s="1" t="s">
        <v>0</v>
      </c>
    </row>
    <row r="26" spans="1:15" x14ac:dyDescent="0.25">
      <c r="A26" s="1" t="s">
        <v>53</v>
      </c>
      <c r="B26" s="1">
        <f>B24-750</f>
        <v>11.005647341544204</v>
      </c>
      <c r="C26" s="1" t="s">
        <v>0</v>
      </c>
      <c r="D26" s="1">
        <f>D24-750</f>
        <v>-24.016040853109075</v>
      </c>
      <c r="E26" s="1" t="s">
        <v>0</v>
      </c>
      <c r="F26" s="1">
        <f>F24-750</f>
        <v>111.62140282367091</v>
      </c>
      <c r="G26" s="1" t="s">
        <v>0</v>
      </c>
      <c r="I26" s="1" t="s">
        <v>53</v>
      </c>
      <c r="J26" s="1">
        <f>J24-750</f>
        <v>3.6685491138481439</v>
      </c>
      <c r="K26" s="1" t="s">
        <v>0</v>
      </c>
      <c r="L26" s="1">
        <f>L24-750</f>
        <v>-8.0053469510363584</v>
      </c>
      <c r="M26" s="1" t="s">
        <v>0</v>
      </c>
      <c r="N26" s="1">
        <f>N24-750</f>
        <v>37.254866326224146</v>
      </c>
      <c r="O26" s="1" t="s">
        <v>0</v>
      </c>
    </row>
    <row r="28" spans="1:15" x14ac:dyDescent="0.25">
      <c r="A28" s="1" t="s">
        <v>54</v>
      </c>
      <c r="B28" s="1">
        <f>(((B24*B23)/1500)*Data3!$B$3)/(2*Data3!$B$3)</f>
        <v>25333.878000000004</v>
      </c>
      <c r="C28" s="1" t="s">
        <v>1</v>
      </c>
      <c r="D28" s="1">
        <f>(((D24*D23)/1500)*Data3!$B$3)/(2*Data3!$B$3)</f>
        <v>24168.006000000001</v>
      </c>
      <c r="E28" s="1" t="s">
        <v>1</v>
      </c>
      <c r="F28" s="1">
        <f>(((F24*F23)/1500)*Data3!$B$3)/(2*Data3!$B$3)</f>
        <v>28683.376500000006</v>
      </c>
      <c r="G28" s="1" t="s">
        <v>1</v>
      </c>
      <c r="I28" s="1" t="s">
        <v>54</v>
      </c>
      <c r="J28" s="1">
        <f>(((J24*J23)/1500)*Data3!$B$3)/(2*Data3!$B$3)</f>
        <v>25089.626000000004</v>
      </c>
      <c r="K28" s="1" t="s">
        <v>1</v>
      </c>
      <c r="L28" s="1">
        <f>(((L24*L23)/1500)*Data3!$B$3)/(2*Data3!$B$3)</f>
        <v>24701.002</v>
      </c>
      <c r="M28" s="1" t="s">
        <v>1</v>
      </c>
      <c r="N28" s="1">
        <f>(((N24*N23)/1500)*Data3!$B$3)/(2*Data3!$B$3)</f>
        <v>26207.714499999998</v>
      </c>
      <c r="O28" s="1" t="s">
        <v>1</v>
      </c>
    </row>
    <row r="29" spans="1:15" x14ac:dyDescent="0.25">
      <c r="A29" s="1" t="s">
        <v>55</v>
      </c>
      <c r="B29" s="1">
        <f>B22-B28</f>
        <v>24601.121999999996</v>
      </c>
      <c r="C29" s="1" t="s">
        <v>1</v>
      </c>
      <c r="D29" s="1">
        <f>D22-D28</f>
        <v>25766.993999999999</v>
      </c>
      <c r="E29" s="1" t="s">
        <v>1</v>
      </c>
      <c r="F29" s="1">
        <f>F22-F28</f>
        <v>21251.623499999994</v>
      </c>
      <c r="G29" s="1" t="s">
        <v>1</v>
      </c>
      <c r="I29" s="1" t="s">
        <v>55</v>
      </c>
      <c r="J29" s="1">
        <f>J22-J28</f>
        <v>24845.373999999996</v>
      </c>
      <c r="K29" s="1" t="s">
        <v>1</v>
      </c>
      <c r="L29" s="1">
        <f>L22-L28</f>
        <v>25233.998</v>
      </c>
      <c r="M29" s="1" t="s">
        <v>1</v>
      </c>
      <c r="N29" s="1">
        <f>N22-N28</f>
        <v>23727.285500000002</v>
      </c>
      <c r="O29" s="1" t="s">
        <v>1</v>
      </c>
    </row>
    <row r="31" spans="1:15" x14ac:dyDescent="0.25">
      <c r="A31" s="1" t="s">
        <v>56</v>
      </c>
      <c r="B31" s="1">
        <f>B28/2</f>
        <v>12666.939000000002</v>
      </c>
      <c r="C31" s="1" t="s">
        <v>1</v>
      </c>
      <c r="D31" s="1">
        <f>D28/2</f>
        <v>12084.003000000001</v>
      </c>
      <c r="E31" s="1" t="s">
        <v>1</v>
      </c>
      <c r="F31" s="1">
        <f>F28/2</f>
        <v>14341.688250000003</v>
      </c>
      <c r="G31" s="1" t="s">
        <v>1</v>
      </c>
      <c r="I31" s="1" t="s">
        <v>56</v>
      </c>
      <c r="J31" s="1">
        <f>J28/2</f>
        <v>12544.813000000002</v>
      </c>
      <c r="K31" s="1" t="s">
        <v>1</v>
      </c>
      <c r="L31" s="1">
        <f>L28/2</f>
        <v>12350.501</v>
      </c>
      <c r="M31" s="1" t="s">
        <v>1</v>
      </c>
      <c r="N31" s="1">
        <f>N28/2</f>
        <v>13103.857249999999</v>
      </c>
      <c r="O31" s="1" t="s">
        <v>1</v>
      </c>
    </row>
    <row r="32" spans="1:15" x14ac:dyDescent="0.25">
      <c r="A32" s="1" t="s">
        <v>57</v>
      </c>
      <c r="B32" s="1">
        <f>B29/2</f>
        <v>12300.560999999998</v>
      </c>
      <c r="C32" s="1" t="s">
        <v>1</v>
      </c>
      <c r="D32" s="1">
        <f>D29/2</f>
        <v>12883.496999999999</v>
      </c>
      <c r="E32" s="1" t="s">
        <v>1</v>
      </c>
      <c r="F32" s="1">
        <f>F29/2</f>
        <v>10625.811749999997</v>
      </c>
      <c r="G32" s="1" t="s">
        <v>1</v>
      </c>
      <c r="I32" s="1" t="s">
        <v>57</v>
      </c>
      <c r="J32" s="1">
        <f>J29/2</f>
        <v>12422.686999999998</v>
      </c>
      <c r="K32" s="1" t="s">
        <v>1</v>
      </c>
      <c r="L32" s="1">
        <f>L29/2</f>
        <v>12616.999</v>
      </c>
      <c r="M32" s="1" t="s">
        <v>1</v>
      </c>
      <c r="N32" s="1">
        <f>N29/2</f>
        <v>11863.642750000001</v>
      </c>
      <c r="O32" s="1" t="s">
        <v>1</v>
      </c>
    </row>
  </sheetData>
  <sheetProtection algorithmName="SHA-512" hashValue="5VC7Pii5+/Kr6crtq4jffN44ymjzy/p1rUokwhYb+wxEoiRmsmdmKyM48f8KV5SUjSOD5JXpcju+xIDhYl/MrQ==" saltValue="45ADDtYfWxTYErkJLlhj1g==" spinCount="100000" sheet="1" objects="1" scenarios="1"/>
  <mergeCells count="6">
    <mergeCell ref="Q2:R2"/>
    <mergeCell ref="C2:D2"/>
    <mergeCell ref="E2:F2"/>
    <mergeCell ref="G2:H2"/>
    <mergeCell ref="M2:N2"/>
    <mergeCell ref="O2:P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E8FEF-DB92-47E7-8158-67B38DC19C8B}">
  <dimension ref="A1:N48"/>
  <sheetViews>
    <sheetView topLeftCell="B18" workbookViewId="0">
      <selection activeCell="B18" sqref="B18"/>
    </sheetView>
  </sheetViews>
  <sheetFormatPr defaultRowHeight="15" x14ac:dyDescent="0.25"/>
  <cols>
    <col min="1" max="1" width="14.28515625" style="1" customWidth="1"/>
    <col min="2" max="2" width="12" style="1" customWidth="1"/>
    <col min="3" max="3" width="12.85546875" style="1" customWidth="1"/>
    <col min="4" max="4" width="12.42578125" style="1" customWidth="1"/>
    <col min="5" max="6" width="9.140625" style="1"/>
    <col min="7" max="7" width="11.5703125" style="1" customWidth="1"/>
    <col min="8" max="9" width="9.140625" style="1"/>
    <col min="10" max="10" width="10.85546875" style="1" customWidth="1"/>
    <col min="11" max="16384" width="9.140625" style="1"/>
  </cols>
  <sheetData>
    <row r="1" spans="3:14" x14ac:dyDescent="0.25">
      <c r="C1" s="3" t="s">
        <v>17</v>
      </c>
      <c r="D1" s="3" t="s">
        <v>71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x14ac:dyDescent="0.25">
      <c r="C2" s="35">
        <v>1</v>
      </c>
      <c r="D2" s="35"/>
      <c r="E2" s="35">
        <v>2</v>
      </c>
      <c r="F2" s="35"/>
      <c r="G2" s="35">
        <v>3</v>
      </c>
      <c r="H2" s="35"/>
      <c r="I2" s="35">
        <v>1</v>
      </c>
      <c r="J2" s="35"/>
      <c r="K2" s="35">
        <v>2</v>
      </c>
      <c r="L2" s="35"/>
      <c r="M2" s="35">
        <v>3</v>
      </c>
      <c r="N2" s="35"/>
    </row>
    <row r="3" spans="3:14" x14ac:dyDescent="0.25">
      <c r="C3" s="2" t="s">
        <v>4</v>
      </c>
      <c r="D3" s="2">
        <v>1817.4</v>
      </c>
      <c r="E3" s="2" t="s">
        <v>4</v>
      </c>
      <c r="F3" s="2">
        <v>1817.4</v>
      </c>
      <c r="G3" s="1" t="s">
        <v>4</v>
      </c>
      <c r="H3" s="2">
        <v>1820.6</v>
      </c>
      <c r="I3" s="2" t="s">
        <v>35</v>
      </c>
      <c r="J3" s="2">
        <v>1817.4</v>
      </c>
      <c r="K3" s="2" t="s">
        <v>35</v>
      </c>
      <c r="L3" s="2">
        <v>1817.4</v>
      </c>
      <c r="M3" s="1" t="s">
        <v>35</v>
      </c>
      <c r="N3" s="2">
        <v>1817.4</v>
      </c>
    </row>
    <row r="4" spans="3:14" x14ac:dyDescent="0.25">
      <c r="C4" s="2" t="s">
        <v>5</v>
      </c>
      <c r="D4" s="2"/>
      <c r="E4" s="2" t="s">
        <v>5</v>
      </c>
      <c r="F4" s="2"/>
      <c r="G4" s="1" t="s">
        <v>5</v>
      </c>
      <c r="H4" s="2"/>
      <c r="I4" s="2" t="s">
        <v>36</v>
      </c>
      <c r="J4" s="2"/>
      <c r="K4" s="2" t="s">
        <v>36</v>
      </c>
      <c r="M4" s="1" t="s">
        <v>36</v>
      </c>
    </row>
    <row r="5" spans="3:14" x14ac:dyDescent="0.25">
      <c r="C5" s="2" t="s">
        <v>6</v>
      </c>
      <c r="D5" s="2">
        <v>1347.4</v>
      </c>
      <c r="E5" s="2" t="s">
        <v>6</v>
      </c>
      <c r="F5" s="2">
        <v>1456.4</v>
      </c>
      <c r="G5" s="1" t="s">
        <v>6</v>
      </c>
      <c r="H5" s="2">
        <v>1564</v>
      </c>
      <c r="I5" s="2" t="s">
        <v>37</v>
      </c>
      <c r="J5" s="2">
        <v>1347.4</v>
      </c>
      <c r="K5" s="2" t="s">
        <v>37</v>
      </c>
      <c r="L5" s="2">
        <v>1347.4</v>
      </c>
      <c r="M5" s="1" t="s">
        <v>37</v>
      </c>
      <c r="N5" s="2">
        <v>1347.4</v>
      </c>
    </row>
    <row r="6" spans="3:14" x14ac:dyDescent="0.25">
      <c r="C6" s="2" t="s">
        <v>7</v>
      </c>
      <c r="D6" s="2">
        <v>985</v>
      </c>
      <c r="E6" s="2" t="s">
        <v>7</v>
      </c>
      <c r="F6" s="2">
        <v>1094</v>
      </c>
      <c r="G6" s="1" t="s">
        <v>7</v>
      </c>
      <c r="H6" s="2">
        <v>1094</v>
      </c>
      <c r="I6" s="2" t="s">
        <v>38</v>
      </c>
      <c r="J6" s="2">
        <v>877.4</v>
      </c>
      <c r="K6" s="2" t="s">
        <v>38</v>
      </c>
      <c r="L6" s="1">
        <v>877.4</v>
      </c>
      <c r="M6" s="1" t="s">
        <v>38</v>
      </c>
      <c r="N6" s="1">
        <v>877.4</v>
      </c>
    </row>
    <row r="7" spans="3:14" x14ac:dyDescent="0.25">
      <c r="C7" s="2" t="s">
        <v>8</v>
      </c>
      <c r="D7" s="2">
        <v>622.6</v>
      </c>
      <c r="E7" s="2" t="s">
        <v>8</v>
      </c>
      <c r="F7" s="2">
        <v>622.6</v>
      </c>
      <c r="G7" s="1" t="s">
        <v>8</v>
      </c>
      <c r="H7" s="2">
        <v>622.6</v>
      </c>
      <c r="I7" s="2" t="s">
        <v>39</v>
      </c>
      <c r="J7" s="2">
        <v>515</v>
      </c>
      <c r="K7" s="2" t="s">
        <v>39</v>
      </c>
      <c r="L7" s="1">
        <v>406</v>
      </c>
      <c r="M7" s="1" t="s">
        <v>39</v>
      </c>
      <c r="N7" s="1">
        <v>406</v>
      </c>
    </row>
    <row r="8" spans="3:14" x14ac:dyDescent="0.25">
      <c r="C8" s="2" t="s">
        <v>9</v>
      </c>
      <c r="D8" s="2">
        <v>152.6</v>
      </c>
      <c r="E8" s="2" t="s">
        <v>9</v>
      </c>
      <c r="F8" s="2">
        <v>152.6</v>
      </c>
      <c r="G8" s="1" t="s">
        <v>9</v>
      </c>
      <c r="H8" s="2">
        <v>152.6</v>
      </c>
      <c r="I8" s="2" t="s">
        <v>40</v>
      </c>
      <c r="J8" s="2">
        <v>152.6</v>
      </c>
      <c r="K8" s="2" t="s">
        <v>40</v>
      </c>
      <c r="L8" s="1">
        <v>43.6</v>
      </c>
      <c r="M8" s="1" t="s">
        <v>40</v>
      </c>
      <c r="N8" s="1">
        <v>-64</v>
      </c>
    </row>
    <row r="9" spans="3:14" x14ac:dyDescent="0.25">
      <c r="C9" s="2" t="s">
        <v>10</v>
      </c>
      <c r="D9" s="2"/>
      <c r="E9" s="2" t="s">
        <v>10</v>
      </c>
      <c r="F9" s="2"/>
      <c r="G9" s="1" t="s">
        <v>10</v>
      </c>
      <c r="H9" s="2"/>
      <c r="I9" s="2" t="s">
        <v>41</v>
      </c>
      <c r="J9" s="2"/>
      <c r="K9" s="2" t="s">
        <v>41</v>
      </c>
      <c r="M9" s="1" t="s">
        <v>41</v>
      </c>
    </row>
    <row r="10" spans="3:14" x14ac:dyDescent="0.25">
      <c r="C10" s="2" t="s">
        <v>11</v>
      </c>
      <c r="D10" s="2">
        <v>-317.39999999999998</v>
      </c>
      <c r="E10" s="2" t="s">
        <v>11</v>
      </c>
      <c r="F10" s="2">
        <v>-317.39999999999998</v>
      </c>
      <c r="G10" s="1" t="s">
        <v>11</v>
      </c>
      <c r="H10" s="2">
        <v>-317.39999999999998</v>
      </c>
      <c r="I10" s="2" t="s">
        <v>42</v>
      </c>
      <c r="J10" s="2">
        <v>-317.39999999999998</v>
      </c>
      <c r="K10" s="2" t="s">
        <v>42</v>
      </c>
      <c r="L10" s="1">
        <v>-317.39999999999998</v>
      </c>
      <c r="M10" s="1" t="s">
        <v>42</v>
      </c>
      <c r="N10" s="1">
        <v>-320.60000000000002</v>
      </c>
    </row>
    <row r="11" spans="3:14" x14ac:dyDescent="0.25">
      <c r="C11" s="2"/>
      <c r="E11" s="2"/>
    </row>
    <row r="12" spans="3:14" x14ac:dyDescent="0.25">
      <c r="C12" s="2"/>
      <c r="I12" s="34" t="s">
        <v>64</v>
      </c>
      <c r="J12" s="34"/>
    </row>
    <row r="13" spans="3:14" x14ac:dyDescent="0.25">
      <c r="C13" s="2" t="s">
        <v>16</v>
      </c>
      <c r="F13" s="2" t="s">
        <v>43</v>
      </c>
      <c r="I13" s="34" t="s">
        <v>44</v>
      </c>
      <c r="J13" s="34"/>
    </row>
    <row r="14" spans="3:14" x14ac:dyDescent="0.25">
      <c r="C14" s="2" t="s">
        <v>12</v>
      </c>
      <c r="D14" s="1">
        <f>(((3*Výpočty!$B$6*(D3+D4+D5+D6+D7+D8+D9+D10+D11))/4)/1500)+(Výpočty!$B$7/8)</f>
        <v>10113.189000000002</v>
      </c>
      <c r="E14" s="2" t="s">
        <v>1</v>
      </c>
      <c r="F14" s="2" t="s">
        <v>12</v>
      </c>
      <c r="G14" s="1">
        <f>(((3*Výpočty!$B$6*(F3+F5+F6+F7+F8+F10))/4)/1500)+Výpočty!$B$7/8</f>
        <v>10484.334000000003</v>
      </c>
      <c r="H14" s="2" t="s">
        <v>1</v>
      </c>
      <c r="I14" s="2" t="s">
        <v>12</v>
      </c>
      <c r="J14" s="1">
        <f>(((3*Výpočty!$B$6*(H3+H5+H6+H7+H8+H10))/4)/1500)+Výpočty!$B$7/8</f>
        <v>10672.971000000003</v>
      </c>
    </row>
    <row r="15" spans="3:14" x14ac:dyDescent="0.25">
      <c r="C15" s="2" t="s">
        <v>14</v>
      </c>
      <c r="D15" s="1">
        <f>(Výpočty!$B$7/4)+((3*(6*Výpočty!$B$6))/4)-D14</f>
        <v>9746.8109999999979</v>
      </c>
      <c r="E15" s="2" t="s">
        <v>1</v>
      </c>
      <c r="F15" s="2" t="s">
        <v>14</v>
      </c>
      <c r="G15" s="1">
        <f>Výpočty!$B$7/4+((3*(6*Výpočty!$B$6))/4)-G14</f>
        <v>9375.6659999999974</v>
      </c>
      <c r="H15" s="2" t="s">
        <v>1</v>
      </c>
      <c r="I15" s="2" t="s">
        <v>14</v>
      </c>
      <c r="J15" s="1">
        <f>Výpočty!$B$7/4+((3*(6*Výpočty!$B$6))/4)-J14</f>
        <v>9187.0289999999968</v>
      </c>
    </row>
    <row r="17" spans="1:12" x14ac:dyDescent="0.25">
      <c r="C17" s="34" t="s">
        <v>65</v>
      </c>
      <c r="D17" s="34"/>
      <c r="F17" s="34" t="s">
        <v>65</v>
      </c>
      <c r="G17" s="34"/>
      <c r="I17" s="34" t="s">
        <v>65</v>
      </c>
      <c r="J17" s="34"/>
    </row>
    <row r="18" spans="1:12" x14ac:dyDescent="0.25">
      <c r="C18" s="34" t="s">
        <v>16</v>
      </c>
      <c r="D18" s="34"/>
      <c r="F18" s="34" t="s">
        <v>43</v>
      </c>
      <c r="G18" s="34"/>
      <c r="I18" s="34" t="s">
        <v>44</v>
      </c>
      <c r="J18" s="34"/>
    </row>
    <row r="19" spans="1:12" x14ac:dyDescent="0.25">
      <c r="C19" s="2" t="s">
        <v>12</v>
      </c>
      <c r="D19" s="1">
        <f>(((2*Výpočty!B6*(D3+D5+D6+D7+D8+D10))/4)/1500)+((Výpočty!B6*(J3+J5+J6+J7+J8+J10)/4)/1500)+(Výpočty!B7/8)</f>
        <v>9991.0630000000019</v>
      </c>
      <c r="F19" s="2" t="s">
        <v>12</v>
      </c>
      <c r="G19" s="1">
        <f>(((2*Výpočty!B6*(F3+F5+F6+F7+F8+F10))/4)/1500)+((Výpočty!B6*(L3+L5+L6+L7+L8+L10)/4)/1500)+(Výpočty!B7/8)</f>
        <v>10114.778000000002</v>
      </c>
      <c r="I19" s="2" t="s">
        <v>12</v>
      </c>
      <c r="J19" s="1">
        <f>(((2*Výpočty!B6*(H3+H4+H5+H6+H7+H8+H9+H10+H11))/4)/1500)+((Výpočty!B6*(N3+N5+N6+N7+N8+N10)/4)/1500)+(Výpočty!B7/8)</f>
        <v>10177.657000000001</v>
      </c>
    </row>
    <row r="20" spans="1:12" x14ac:dyDescent="0.25">
      <c r="C20" s="2" t="s">
        <v>14</v>
      </c>
      <c r="D20" s="1">
        <f>Výpočty!$B$7/4+((3*(6*Výpočty!$B$6))/4)-D19</f>
        <v>9868.9369999999981</v>
      </c>
      <c r="F20" s="2" t="s">
        <v>14</v>
      </c>
      <c r="G20" s="1">
        <f>Výpočty!$B$7/4+((3*(6*Výpočty!$B$6))/4)-G19</f>
        <v>9745.2219999999979</v>
      </c>
      <c r="I20" s="2" t="s">
        <v>14</v>
      </c>
      <c r="J20" s="1">
        <f>Výpočty!$B$7/4+((3*(6*Výpočty!$B$6))/4)-J19</f>
        <v>9682.3429999999989</v>
      </c>
    </row>
    <row r="23" spans="1:12" x14ac:dyDescent="0.25">
      <c r="A23" s="1" t="s">
        <v>53</v>
      </c>
      <c r="B23" s="1">
        <f>B21-750</f>
        <v>-750</v>
      </c>
      <c r="C23" s="1" t="s">
        <v>0</v>
      </c>
      <c r="D23" s="1">
        <f>D21-750</f>
        <v>-750</v>
      </c>
      <c r="E23" s="1" t="s">
        <v>0</v>
      </c>
    </row>
    <row r="25" spans="1:12" x14ac:dyDescent="0.25">
      <c r="A25" s="1" t="s">
        <v>54</v>
      </c>
      <c r="B25" s="1">
        <f>(((B21*B20)/1500)*Data3!$B$3)/(2*Data3!$B$3)</f>
        <v>0</v>
      </c>
      <c r="C25" s="1" t="s">
        <v>1</v>
      </c>
      <c r="D25" s="1">
        <f>(((D21*D20)/1500)*Data3!$B$3)/(2*Data3!$B$3)</f>
        <v>0</v>
      </c>
      <c r="E25" s="1" t="s">
        <v>1</v>
      </c>
    </row>
    <row r="26" spans="1:12" x14ac:dyDescent="0.25">
      <c r="A26" s="1" t="s">
        <v>55</v>
      </c>
      <c r="B26" s="1">
        <f>B19-B25</f>
        <v>0</v>
      </c>
      <c r="C26" s="1" t="s">
        <v>1</v>
      </c>
      <c r="D26" s="1">
        <f>D19-D25</f>
        <v>9991.0630000000019</v>
      </c>
      <c r="E26" s="1" t="s">
        <v>1</v>
      </c>
    </row>
    <row r="28" spans="1:12" x14ac:dyDescent="0.25">
      <c r="A28" s="1" t="s">
        <v>56</v>
      </c>
      <c r="B28" s="1">
        <f>B25/2</f>
        <v>0</v>
      </c>
      <c r="C28" s="1" t="s">
        <v>1</v>
      </c>
      <c r="D28" s="1">
        <f>D25/2</f>
        <v>0</v>
      </c>
      <c r="E28" s="1" t="s">
        <v>1</v>
      </c>
    </row>
    <row r="29" spans="1:12" x14ac:dyDescent="0.25">
      <c r="A29" s="1" t="s">
        <v>57</v>
      </c>
      <c r="B29" s="1">
        <f>B26/2</f>
        <v>0</v>
      </c>
      <c r="C29" s="1" t="s">
        <v>1</v>
      </c>
      <c r="D29" s="1">
        <f>D26/2</f>
        <v>4995.531500000001</v>
      </c>
      <c r="E29" s="1" t="s">
        <v>1</v>
      </c>
    </row>
    <row r="30" spans="1:12" x14ac:dyDescent="0.25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C32" s="3" t="s">
        <v>66</v>
      </c>
      <c r="D32" s="3" t="s">
        <v>67</v>
      </c>
      <c r="E32" s="3"/>
      <c r="F32" s="3"/>
      <c r="G32" s="3"/>
      <c r="H32" s="3"/>
      <c r="I32" s="3"/>
      <c r="J32" s="3"/>
      <c r="K32" s="3"/>
      <c r="L32" s="3"/>
    </row>
    <row r="33" spans="2:12" x14ac:dyDescent="0.25">
      <c r="C33" s="35">
        <v>1</v>
      </c>
      <c r="D33" s="35"/>
      <c r="E33" s="35">
        <v>2</v>
      </c>
      <c r="F33" s="35"/>
      <c r="G33" s="35">
        <v>3</v>
      </c>
      <c r="H33" s="35"/>
      <c r="I33" s="3"/>
      <c r="J33" s="3"/>
      <c r="K33" s="35">
        <v>1</v>
      </c>
      <c r="L33" s="35"/>
    </row>
    <row r="34" spans="2:12" x14ac:dyDescent="0.25">
      <c r="C34" s="3" t="s">
        <v>4</v>
      </c>
      <c r="D34" s="3">
        <v>1815</v>
      </c>
      <c r="E34" s="3" t="s">
        <v>4</v>
      </c>
      <c r="F34" s="3">
        <v>1815</v>
      </c>
      <c r="G34" s="3" t="s">
        <v>4</v>
      </c>
      <c r="H34" s="3">
        <v>1815</v>
      </c>
      <c r="I34" s="3"/>
      <c r="J34" s="3"/>
      <c r="K34" s="3" t="s">
        <v>35</v>
      </c>
      <c r="L34" s="3">
        <v>1815</v>
      </c>
    </row>
    <row r="35" spans="2:12" x14ac:dyDescent="0.25">
      <c r="C35" s="1" t="s">
        <v>5</v>
      </c>
      <c r="D35" s="1">
        <v>1515</v>
      </c>
      <c r="E35" s="1" t="s">
        <v>5</v>
      </c>
      <c r="F35" s="1">
        <v>1515</v>
      </c>
      <c r="G35" s="1" t="s">
        <v>5</v>
      </c>
      <c r="H35" s="1">
        <v>1345</v>
      </c>
      <c r="K35" s="1" t="s">
        <v>36</v>
      </c>
      <c r="L35" s="1">
        <v>1515</v>
      </c>
    </row>
    <row r="36" spans="2:12" x14ac:dyDescent="0.25">
      <c r="C36" s="1" t="s">
        <v>6</v>
      </c>
      <c r="D36" s="1">
        <v>1220</v>
      </c>
      <c r="E36" s="1" t="s">
        <v>6</v>
      </c>
      <c r="F36" s="1">
        <v>1220</v>
      </c>
      <c r="G36" s="1" t="s">
        <v>6</v>
      </c>
      <c r="H36" s="1">
        <v>1045</v>
      </c>
      <c r="K36" s="1" t="s">
        <v>37</v>
      </c>
      <c r="L36" s="1">
        <v>1220</v>
      </c>
    </row>
    <row r="37" spans="2:12" x14ac:dyDescent="0.25">
      <c r="C37" s="1" t="s">
        <v>7</v>
      </c>
      <c r="D37" s="1">
        <v>750</v>
      </c>
      <c r="E37" s="1" t="s">
        <v>7</v>
      </c>
      <c r="F37" s="1">
        <v>750</v>
      </c>
      <c r="G37" s="1" t="s">
        <v>7</v>
      </c>
      <c r="H37" s="1">
        <v>750</v>
      </c>
      <c r="K37" s="1" t="s">
        <v>38</v>
      </c>
      <c r="L37" s="1">
        <v>750</v>
      </c>
    </row>
    <row r="38" spans="2:12" x14ac:dyDescent="0.25">
      <c r="C38" s="1" t="s">
        <v>8</v>
      </c>
      <c r="D38" s="1">
        <v>280</v>
      </c>
      <c r="E38" s="1" t="s">
        <v>8</v>
      </c>
      <c r="F38" s="1">
        <v>280</v>
      </c>
      <c r="G38" s="1" t="s">
        <v>8</v>
      </c>
      <c r="H38" s="1">
        <v>455</v>
      </c>
      <c r="K38" s="1" t="s">
        <v>39</v>
      </c>
      <c r="L38" s="1">
        <v>280</v>
      </c>
    </row>
    <row r="39" spans="2:12" x14ac:dyDescent="0.25">
      <c r="C39" s="1" t="s">
        <v>9</v>
      </c>
      <c r="D39" s="1">
        <v>-15</v>
      </c>
      <c r="E39" s="1" t="s">
        <v>9</v>
      </c>
      <c r="F39" s="1">
        <v>-15</v>
      </c>
      <c r="G39" s="1" t="s">
        <v>9</v>
      </c>
      <c r="H39" s="1">
        <v>155</v>
      </c>
      <c r="K39" s="1" t="s">
        <v>40</v>
      </c>
      <c r="L39" s="1">
        <v>-15</v>
      </c>
    </row>
    <row r="40" spans="2:12" x14ac:dyDescent="0.25">
      <c r="C40" s="1" t="s">
        <v>10</v>
      </c>
      <c r="D40" s="1">
        <v>-315</v>
      </c>
      <c r="E40" s="1" t="s">
        <v>10</v>
      </c>
      <c r="F40" s="1">
        <v>-315</v>
      </c>
      <c r="G40" s="1" t="s">
        <v>10</v>
      </c>
      <c r="H40" s="1">
        <v>-315</v>
      </c>
      <c r="K40" s="1" t="s">
        <v>41</v>
      </c>
      <c r="L40" s="1">
        <v>-315</v>
      </c>
    </row>
    <row r="42" spans="2:12" x14ac:dyDescent="0.25">
      <c r="B42" s="1" t="s">
        <v>64</v>
      </c>
      <c r="C42" s="2" t="s">
        <v>16</v>
      </c>
      <c r="F42" s="2" t="s">
        <v>43</v>
      </c>
      <c r="I42" s="34" t="s">
        <v>44</v>
      </c>
      <c r="J42" s="34"/>
    </row>
    <row r="43" spans="2:12" x14ac:dyDescent="0.25">
      <c r="C43" s="2" t="s">
        <v>12</v>
      </c>
      <c r="D43" s="1">
        <f>(((3*Výpočty!$B$6*(D34+D35+D36+D37+D38+D39+D40))/4)/1500)+Výpočty!$B$7/8</f>
        <v>11206.875</v>
      </c>
      <c r="E43" s="2" t="s">
        <v>1</v>
      </c>
      <c r="F43" s="2" t="s">
        <v>12</v>
      </c>
      <c r="G43" s="1">
        <f>(((3*Výpočty!$B$6*(F34+F35+F36+F37+F38+F39+F40))/4)/1500)+Výpočty!$B$7/8</f>
        <v>11206.875</v>
      </c>
      <c r="H43" s="2" t="s">
        <v>1</v>
      </c>
      <c r="I43" s="2" t="s">
        <v>12</v>
      </c>
      <c r="J43" s="1">
        <f>(((3*Výpočty!$B$6*(H34+H35+H36+H37+H38+H39+H40))/4)/1500)+Výpočty!$B$7/8</f>
        <v>11206.875</v>
      </c>
    </row>
    <row r="44" spans="2:12" x14ac:dyDescent="0.25">
      <c r="C44" s="2" t="s">
        <v>14</v>
      </c>
      <c r="D44" s="1">
        <f>Výpočty!$B$7/4+((3*(7*Výpočty!$B$6))/4)-D43</f>
        <v>11206.875</v>
      </c>
      <c r="E44" s="2" t="s">
        <v>1</v>
      </c>
      <c r="F44" s="2" t="s">
        <v>14</v>
      </c>
      <c r="G44" s="1">
        <f>Výpočty!$B$7/4+((3*(7*Výpočty!$B$6))/4)-G43</f>
        <v>11206.875</v>
      </c>
      <c r="H44" s="2" t="s">
        <v>1</v>
      </c>
      <c r="I44" s="2" t="s">
        <v>14</v>
      </c>
      <c r="J44" s="1">
        <f>Výpočty!$B$7/4+((3*(7*Výpočty!$B$6))/4)-J43</f>
        <v>11206.875</v>
      </c>
    </row>
    <row r="46" spans="2:12" x14ac:dyDescent="0.25">
      <c r="B46" s="1" t="s">
        <v>65</v>
      </c>
      <c r="C46" s="2" t="s">
        <v>16</v>
      </c>
    </row>
    <row r="47" spans="2:12" x14ac:dyDescent="0.25">
      <c r="C47" s="2" t="s">
        <v>12</v>
      </c>
      <c r="D47" s="1">
        <f>(((2*Výpočty!B6*(D34+D35+D36+D37+D38+D39+D40))/4)/1500)+((Výpočty!B6*(L34+L35+L36+L37+L38+L39+L40)/4)/1500)+(Výpočty!B7/8)</f>
        <v>11206.875</v>
      </c>
      <c r="E47" s="2" t="s">
        <v>1</v>
      </c>
    </row>
    <row r="48" spans="2:12" x14ac:dyDescent="0.25">
      <c r="C48" s="2" t="s">
        <v>14</v>
      </c>
      <c r="D48" s="1">
        <f>Výpočty!$B$7/4+((3*(7*Výpočty!$B$6))/4)-D47</f>
        <v>11206.875</v>
      </c>
      <c r="E48" s="2" t="s">
        <v>1</v>
      </c>
    </row>
  </sheetData>
  <sheetProtection algorithmName="SHA-512" hashValue="M7iZ3KE1qnh8cYHEUJulH0rf7MQYqn4G4hqUTivPy8HZmZkrDWOSzT+/nPGYqa5EoajN2AHgAnwdZswGSkjZIA==" saltValue="VrUwz1J33InAuteSZcKZuA==" spinCount="100000" sheet="1" objects="1" scenarios="1"/>
  <mergeCells count="19">
    <mergeCell ref="M2:N2"/>
    <mergeCell ref="C33:D33"/>
    <mergeCell ref="E33:F33"/>
    <mergeCell ref="G33:H33"/>
    <mergeCell ref="K33:L33"/>
    <mergeCell ref="C2:D2"/>
    <mergeCell ref="E2:F2"/>
    <mergeCell ref="G2:H2"/>
    <mergeCell ref="I13:J13"/>
    <mergeCell ref="I12:J12"/>
    <mergeCell ref="C17:D17"/>
    <mergeCell ref="C18:D18"/>
    <mergeCell ref="F17:G17"/>
    <mergeCell ref="F18:G18"/>
    <mergeCell ref="I2:J2"/>
    <mergeCell ref="K2:L2"/>
    <mergeCell ref="I42:J42"/>
    <mergeCell ref="I17:J17"/>
    <mergeCell ref="I18:J1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BF6BA-E4AA-4125-94BF-F12D55288ED2}">
  <dimension ref="A1:B6"/>
  <sheetViews>
    <sheetView workbookViewId="0"/>
  </sheetViews>
  <sheetFormatPr defaultRowHeight="15" x14ac:dyDescent="0.25"/>
  <cols>
    <col min="1" max="1" width="29.140625" style="1" customWidth="1"/>
    <col min="2" max="16384" width="9.140625" style="1"/>
  </cols>
  <sheetData>
    <row r="1" spans="1:2" x14ac:dyDescent="0.25">
      <c r="A1" s="3" t="s">
        <v>25</v>
      </c>
    </row>
    <row r="2" spans="1:2" x14ac:dyDescent="0.25">
      <c r="A2" s="3" t="s">
        <v>26</v>
      </c>
    </row>
    <row r="3" spans="1:2" x14ac:dyDescent="0.25">
      <c r="A3" s="1" t="s">
        <v>30</v>
      </c>
      <c r="B3" s="1">
        <v>8070</v>
      </c>
    </row>
    <row r="4" spans="1:2" x14ac:dyDescent="0.25">
      <c r="A4" s="1" t="s">
        <v>27</v>
      </c>
      <c r="B4" s="1">
        <v>7724.5</v>
      </c>
    </row>
    <row r="5" spans="1:2" x14ac:dyDescent="0.25">
      <c r="A5" s="1" t="s">
        <v>28</v>
      </c>
      <c r="B5" s="1">
        <v>4035</v>
      </c>
    </row>
    <row r="6" spans="1:2" x14ac:dyDescent="0.25">
      <c r="A6" s="1" t="s">
        <v>29</v>
      </c>
      <c r="B6" s="1">
        <v>345.5</v>
      </c>
    </row>
  </sheetData>
  <sheetProtection algorithmName="SHA-512" hashValue="tIXCDsF19O1/a4XWqr7yCOam/gV7HFL/5I1I0eMHDfwjJ2CXt9RJSevGBY/U2q/TocNRXYuRSBITSeirUwpcIg==" saltValue="aFNqpUtWsw9krhDrQYXhAg==" spinCount="100000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3B91-F3E9-4571-9297-2AEB4410A70B}">
  <dimension ref="A1:A4"/>
  <sheetViews>
    <sheetView zoomScale="80" zoomScaleNormal="80" workbookViewId="0">
      <selection activeCell="D1" sqref="D1"/>
    </sheetView>
  </sheetViews>
  <sheetFormatPr defaultRowHeight="15" x14ac:dyDescent="0.25"/>
  <cols>
    <col min="1" max="1" width="64.7109375" style="4" customWidth="1"/>
    <col min="2" max="2" width="64.85546875" style="1" customWidth="1"/>
    <col min="3" max="3" width="65.7109375" style="1" customWidth="1"/>
    <col min="4" max="5" width="9.140625" style="1"/>
    <col min="6" max="6" width="10.85546875" style="1" bestFit="1" customWidth="1"/>
    <col min="7" max="16384" width="9.140625" style="1"/>
  </cols>
  <sheetData>
    <row r="1" spans="1:1" x14ac:dyDescent="0.25">
      <c r="A1" s="4" t="s">
        <v>32</v>
      </c>
    </row>
    <row r="2" spans="1:1" ht="162" customHeight="1" x14ac:dyDescent="0.25"/>
    <row r="3" spans="1:1" ht="163.5" customHeight="1" x14ac:dyDescent="0.25"/>
    <row r="4" spans="1:1" ht="166.5" customHeight="1" x14ac:dyDescent="0.25"/>
  </sheetData>
  <sheetProtection algorithmName="SHA-512" hashValue="GjMKIpSS5K88BQTBx/1WX+JyWtLRRyFteKNbXNozatyMl5EDOfsjmcHDEu9Drr7SYcgnjJrlNzJIx35qXLIG0g==" saltValue="yGziMsyvi+9Wfn4bpeK61g==" spinCount="100000" sheet="1" objects="1" scenarios="1"/>
  <dataValidations count="1">
    <dataValidation type="list" allowBlank="1" showInputMessage="1" showErrorMessage="1" sqref="C2" xr:uid="{ABA5A4B8-5C7C-4CEF-B31D-557F85FF39F0}">
      <formula1>$D$2:$D$4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5C8E-AEA4-46F0-BC42-CF576D2B90FD}">
  <dimension ref="A1:A14"/>
  <sheetViews>
    <sheetView workbookViewId="0">
      <selection activeCell="A3" sqref="A3:XFD3"/>
    </sheetView>
  </sheetViews>
  <sheetFormatPr defaultRowHeight="15" x14ac:dyDescent="0.25"/>
  <cols>
    <col min="1" max="1" width="90.7109375" customWidth="1"/>
  </cols>
  <sheetData>
    <row r="1" ht="63" customHeight="1" x14ac:dyDescent="0.25"/>
    <row r="2" ht="63" customHeight="1" x14ac:dyDescent="0.25"/>
    <row r="3" ht="63" customHeight="1" x14ac:dyDescent="0.25"/>
    <row r="4" ht="63" customHeight="1" x14ac:dyDescent="0.25"/>
    <row r="5" ht="63" customHeight="1" x14ac:dyDescent="0.25"/>
    <row r="6" ht="63" customHeight="1" x14ac:dyDescent="0.25"/>
    <row r="7" ht="63" customHeight="1" x14ac:dyDescent="0.25"/>
    <row r="8" ht="63" customHeight="1" x14ac:dyDescent="0.25"/>
    <row r="9" ht="63" customHeight="1" x14ac:dyDescent="0.25"/>
    <row r="10" ht="63" customHeight="1" x14ac:dyDescent="0.25"/>
    <row r="11" ht="63" customHeight="1" x14ac:dyDescent="0.25"/>
    <row r="12" ht="63" customHeight="1" x14ac:dyDescent="0.25"/>
    <row r="13" ht="63" customHeight="1" x14ac:dyDescent="0.25"/>
    <row r="14" ht="63" customHeight="1" x14ac:dyDescent="0.25"/>
  </sheetData>
  <sheetProtection algorithmName="SHA-512" hashValue="9xfnFAqKGYi6rXSP+ABpcHuKJRo+HIac7r4avDRkzAqS+za3ij8xLaNqFTkWOuqNur9A4PcxVm80bkCNVKGjYw==" saltValue="GcqqrnT63LbB9N7PFU5gpQ==" spinCount="100000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Výpočty</vt:lpstr>
      <vt:lpstr>Data1</vt:lpstr>
      <vt:lpstr>Data2</vt:lpstr>
      <vt:lpstr>Data3</vt:lpstr>
      <vt:lpstr>Data4</vt:lpstr>
      <vt:lpstr>Data5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</dc:creator>
  <cp:lastModifiedBy>Libor</cp:lastModifiedBy>
  <dcterms:created xsi:type="dcterms:W3CDTF">2019-10-27T12:43:47Z</dcterms:created>
  <dcterms:modified xsi:type="dcterms:W3CDTF">2020-05-08T15:25:42Z</dcterms:modified>
</cp:coreProperties>
</file>